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Rahandusosakond\Eelarve\2025 EELARVE\SIM 2025\KK\"/>
    </mc:Choice>
  </mc:AlternateContent>
  <xr:revisionPtr revIDLastSave="0" documentId="13_ncr:1_{E07CCABE-D02D-47A1-9995-BF967ACD1D3A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DTO" sheetId="1" r:id="rId1"/>
    <sheet name="EKO" sheetId="2" r:id="rId2"/>
    <sheet name="ELVO" sheetId="3" r:id="rId3"/>
    <sheet name="kantsler" sheetId="4" r:id="rId4"/>
    <sheet name="KO" sheetId="5" r:id="rId5"/>
    <sheet name="KSO" sheetId="6" r:id="rId6"/>
    <sheet name="KEA" sheetId="7" r:id="rId7"/>
    <sheet name="KVO" sheetId="8" r:id="rId8"/>
    <sheet name="PO" sheetId="10" r:id="rId9"/>
    <sheet name="PRO" sheetId="11" r:id="rId10"/>
    <sheet name="RHO" sheetId="12" r:id="rId11"/>
    <sheet name="RTO" sheetId="13" r:id="rId12"/>
    <sheet name="SAO" sheetId="14" r:id="rId13"/>
    <sheet name="SAK" sheetId="15" r:id="rId14"/>
    <sheet name="SJO" sheetId="16" r:id="rId15"/>
    <sheet name="SM" sheetId="17" r:id="rId16"/>
    <sheet name="STAO" sheetId="18" r:id="rId17"/>
    <sheet name="UKO" sheetId="19" r:id="rId18"/>
    <sheet name="VAK" sheetId="21" r:id="rId19"/>
    <sheet name="VHO" sheetId="22" r:id="rId20"/>
    <sheet name="VVO" sheetId="20" r:id="rId21"/>
    <sheet name="ÕO" sheetId="9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9" l="1"/>
  <c r="J23" i="12"/>
  <c r="J5" i="4" l="1"/>
  <c r="J6" i="4"/>
  <c r="J6" i="3"/>
  <c r="K3" i="9" l="1"/>
  <c r="K4" i="9"/>
  <c r="K5" i="9"/>
  <c r="K6" i="9"/>
  <c r="K7" i="9"/>
  <c r="K8" i="9"/>
  <c r="J9" i="9"/>
  <c r="K9" i="9"/>
  <c r="K3" i="20"/>
  <c r="K4" i="20"/>
  <c r="K5" i="20"/>
  <c r="K6" i="20"/>
  <c r="K7" i="20"/>
  <c r="K8" i="20"/>
  <c r="K9" i="20"/>
  <c r="K10" i="20"/>
  <c r="K11" i="20"/>
  <c r="K16" i="20" s="1"/>
  <c r="K12" i="20"/>
  <c r="K13" i="20"/>
  <c r="K14" i="20"/>
  <c r="K15" i="20"/>
  <c r="J16" i="20"/>
  <c r="K6" i="22"/>
  <c r="K5" i="22"/>
  <c r="K4" i="22"/>
  <c r="K3" i="22"/>
  <c r="K12" i="22" s="1"/>
  <c r="K7" i="22"/>
  <c r="K8" i="22"/>
  <c r="K9" i="22"/>
  <c r="K10" i="22"/>
  <c r="K11" i="22"/>
  <c r="J12" i="22"/>
  <c r="K3" i="21"/>
  <c r="K4" i="21"/>
  <c r="K5" i="21"/>
  <c r="K6" i="21"/>
  <c r="K7" i="21"/>
  <c r="J8" i="21"/>
  <c r="K8" i="21"/>
  <c r="K3" i="19"/>
  <c r="K4" i="19"/>
  <c r="K5" i="19"/>
  <c r="K6" i="19"/>
  <c r="K7" i="19"/>
  <c r="K8" i="19"/>
  <c r="K9" i="19"/>
  <c r="K10" i="19"/>
  <c r="K11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J27" i="19"/>
  <c r="K3" i="18"/>
  <c r="K4" i="18"/>
  <c r="K5" i="18"/>
  <c r="K6" i="18"/>
  <c r="K7" i="18"/>
  <c r="K8" i="18"/>
  <c r="K9" i="18"/>
  <c r="K10" i="18"/>
  <c r="K11" i="18"/>
  <c r="J12" i="18"/>
  <c r="K3" i="17"/>
  <c r="K4" i="17"/>
  <c r="K5" i="17"/>
  <c r="K6" i="17"/>
  <c r="J7" i="17"/>
  <c r="K7" i="17"/>
  <c r="K3" i="16"/>
  <c r="K4" i="16"/>
  <c r="K5" i="16"/>
  <c r="J6" i="16"/>
  <c r="K6" i="16"/>
  <c r="K3" i="15"/>
  <c r="K6" i="15" s="1"/>
  <c r="K4" i="15"/>
  <c r="K5" i="15"/>
  <c r="J6" i="15"/>
  <c r="K3" i="14"/>
  <c r="K4" i="14"/>
  <c r="K13" i="14" s="1"/>
  <c r="K5" i="14"/>
  <c r="K6" i="14"/>
  <c r="K7" i="14"/>
  <c r="K8" i="14"/>
  <c r="K9" i="14"/>
  <c r="K10" i="14"/>
  <c r="K11" i="14"/>
  <c r="K12" i="14"/>
  <c r="J13" i="14"/>
  <c r="K3" i="13"/>
  <c r="K4" i="13"/>
  <c r="K5" i="13"/>
  <c r="K6" i="13"/>
  <c r="K7" i="13"/>
  <c r="K8" i="13"/>
  <c r="K9" i="13"/>
  <c r="K10" i="13"/>
  <c r="K11" i="13"/>
  <c r="K12" i="13" s="1"/>
  <c r="J12" i="13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J24" i="12"/>
  <c r="K3" i="11"/>
  <c r="K4" i="11"/>
  <c r="K5" i="11"/>
  <c r="K6" i="11"/>
  <c r="K7" i="11"/>
  <c r="K8" i="11"/>
  <c r="K9" i="11"/>
  <c r="J9" i="11"/>
  <c r="K3" i="10"/>
  <c r="K4" i="10"/>
  <c r="K5" i="10"/>
  <c r="K6" i="10"/>
  <c r="K7" i="10"/>
  <c r="K8" i="10"/>
  <c r="K9" i="10"/>
  <c r="K10" i="10"/>
  <c r="K13" i="10" s="1"/>
  <c r="K11" i="10"/>
  <c r="K12" i="10"/>
  <c r="J13" i="10"/>
  <c r="K3" i="8"/>
  <c r="K4" i="8"/>
  <c r="K5" i="8"/>
  <c r="K6" i="8"/>
  <c r="K7" i="8"/>
  <c r="J8" i="8"/>
  <c r="K8" i="8"/>
  <c r="K3" i="7"/>
  <c r="K4" i="7"/>
  <c r="K5" i="7"/>
  <c r="K6" i="7"/>
  <c r="J7" i="7"/>
  <c r="K7" i="7"/>
  <c r="K3" i="6"/>
  <c r="K4" i="6"/>
  <c r="K5" i="6"/>
  <c r="K6" i="6"/>
  <c r="K7" i="6"/>
  <c r="K8" i="6"/>
  <c r="K9" i="6"/>
  <c r="J10" i="6"/>
  <c r="K10" i="6"/>
  <c r="K3" i="5"/>
  <c r="K4" i="5"/>
  <c r="K15" i="5" s="1"/>
  <c r="K5" i="5"/>
  <c r="K6" i="5"/>
  <c r="K7" i="5"/>
  <c r="K8" i="5"/>
  <c r="K9" i="5"/>
  <c r="K10" i="5"/>
  <c r="K11" i="5"/>
  <c r="K12" i="5"/>
  <c r="K13" i="5"/>
  <c r="K14" i="5"/>
  <c r="I15" i="5"/>
  <c r="J15" i="5"/>
  <c r="K3" i="4"/>
  <c r="K4" i="4"/>
  <c r="K5" i="4"/>
  <c r="K6" i="4"/>
  <c r="J7" i="4"/>
  <c r="K7" i="4"/>
  <c r="K3" i="3"/>
  <c r="K13" i="3" s="1"/>
  <c r="K4" i="3"/>
  <c r="K5" i="3"/>
  <c r="K6" i="3"/>
  <c r="K7" i="3"/>
  <c r="K8" i="3"/>
  <c r="K9" i="3"/>
  <c r="K10" i="3"/>
  <c r="K11" i="3"/>
  <c r="K12" i="3"/>
  <c r="J13" i="3"/>
  <c r="K3" i="2"/>
  <c r="K4" i="2"/>
  <c r="K5" i="2"/>
  <c r="K6" i="2"/>
  <c r="K7" i="2"/>
  <c r="K8" i="2"/>
  <c r="K9" i="2"/>
  <c r="K10" i="2"/>
  <c r="K11" i="2"/>
  <c r="K12" i="2"/>
  <c r="K13" i="2"/>
  <c r="K14" i="2"/>
  <c r="K15" i="2"/>
  <c r="J16" i="2"/>
  <c r="I15" i="1"/>
  <c r="J15" i="1"/>
  <c r="K15" i="1"/>
  <c r="K3" i="1"/>
  <c r="K4" i="1"/>
  <c r="K5" i="1"/>
  <c r="K6" i="1"/>
  <c r="K7" i="1"/>
  <c r="K8" i="1"/>
  <c r="K9" i="1"/>
  <c r="K10" i="1"/>
  <c r="K11" i="1"/>
  <c r="K12" i="1"/>
  <c r="K13" i="1"/>
  <c r="K14" i="1"/>
  <c r="K27" i="19" l="1"/>
  <c r="K24" i="12"/>
  <c r="K16" i="2"/>
  <c r="K12" i="18"/>
  <c r="I9" i="9" l="1"/>
  <c r="I16" i="20"/>
  <c r="I12" i="22"/>
  <c r="I8" i="21"/>
  <c r="I27" i="19"/>
  <c r="I12" i="18"/>
  <c r="I7" i="17"/>
  <c r="I6" i="16"/>
  <c r="I6" i="15"/>
  <c r="I13" i="14"/>
  <c r="I12" i="13"/>
  <c r="I24" i="12"/>
  <c r="I9" i="11"/>
  <c r="I13" i="10"/>
  <c r="I8" i="8"/>
  <c r="I7" i="7" l="1"/>
  <c r="I10" i="6"/>
  <c r="I7" i="4" l="1"/>
  <c r="I13" i="3"/>
  <c r="I16" i="2"/>
</calcChain>
</file>

<file path=xl/sharedStrings.xml><?xml version="1.0" encoding="utf-8"?>
<sst xmlns="http://schemas.openxmlformats.org/spreadsheetml/2006/main" count="1887" uniqueCount="399">
  <si>
    <t>Nimetus</t>
  </si>
  <si>
    <t>Kulugrupp</t>
  </si>
  <si>
    <t>Eelarve liik ja objekt</t>
  </si>
  <si>
    <t>Eelarve projekt</t>
  </si>
  <si>
    <t>Grant</t>
  </si>
  <si>
    <t>Tegevusala</t>
  </si>
  <si>
    <t>Kuluüksus</t>
  </si>
  <si>
    <t>Tööjõukulud</t>
  </si>
  <si>
    <t>välisvahendid</t>
  </si>
  <si>
    <t>500</t>
  </si>
  <si>
    <t>40</t>
  </si>
  <si>
    <t>1S10-RF21-01212SIM2</t>
  </si>
  <si>
    <t>03600</t>
  </si>
  <si>
    <t>KS100T0900</t>
  </si>
  <si>
    <t>Digipöörde teenuste juht SIMis</t>
  </si>
  <si>
    <t>IKT</t>
  </si>
  <si>
    <t>projekt</t>
  </si>
  <si>
    <t>5514</t>
  </si>
  <si>
    <t>20</t>
  </si>
  <si>
    <t>S10-DHS-HALDUS</t>
  </si>
  <si>
    <t/>
  </si>
  <si>
    <t>KS10009995</t>
  </si>
  <si>
    <t>1S10-RF21-01212RR5</t>
  </si>
  <si>
    <t>01600</t>
  </si>
  <si>
    <t>KS100R1400</t>
  </si>
  <si>
    <t>RR menetlustarkvara arendustööde projektijuhtimine (SIM)</t>
  </si>
  <si>
    <t>1S10-RF21-01212SIM</t>
  </si>
  <si>
    <t>KS100T1800</t>
  </si>
  <si>
    <t>Digipöörde projektijuhtimine SIMis</t>
  </si>
  <si>
    <t>Investeeringud IT</t>
  </si>
  <si>
    <t>15</t>
  </si>
  <si>
    <t>20IN002000</t>
  </si>
  <si>
    <t>S10-RS</t>
  </si>
  <si>
    <t>Muu admin kulu</t>
  </si>
  <si>
    <t>550099</t>
  </si>
  <si>
    <t>S10-ARHIIV</t>
  </si>
  <si>
    <t>tsentraalne</t>
  </si>
  <si>
    <t>550011</t>
  </si>
  <si>
    <t>Erisoodustused</t>
  </si>
  <si>
    <t>otsekulud</t>
  </si>
  <si>
    <t>505</t>
  </si>
  <si>
    <t>Info ja PR</t>
  </si>
  <si>
    <t>550060</t>
  </si>
  <si>
    <t>Arendus- ja uurimistööd</t>
  </si>
  <si>
    <t>5502</t>
  </si>
  <si>
    <t>20SR10A100</t>
  </si>
  <si>
    <t>S10-EITS</t>
  </si>
  <si>
    <t>Töötasu</t>
  </si>
  <si>
    <t>S10-PR-DTO</t>
  </si>
  <si>
    <t>Projektitoetus</t>
  </si>
  <si>
    <t>450</t>
  </si>
  <si>
    <t>41</t>
  </si>
  <si>
    <t>S1SCF-KI21-02332</t>
  </si>
  <si>
    <t>KS100S2200</t>
  </si>
  <si>
    <t>32</t>
  </si>
  <si>
    <t>40IN002000</t>
  </si>
  <si>
    <t>9S10-MU00-UCPM</t>
  </si>
  <si>
    <t>Auditeerimine</t>
  </si>
  <si>
    <t>550051</t>
  </si>
  <si>
    <t>9S10-RR20-03123VAPO</t>
  </si>
  <si>
    <t>Koolituskulud</t>
  </si>
  <si>
    <t>5504</t>
  </si>
  <si>
    <t>10702</t>
  </si>
  <si>
    <t>Tegevustoetused</t>
  </si>
  <si>
    <t>452</t>
  </si>
  <si>
    <t>20SR100042</t>
  </si>
  <si>
    <t>S10-RK-112</t>
  </si>
  <si>
    <t>S10-PR-EKO</t>
  </si>
  <si>
    <t>Lühiajalised lähetused</t>
  </si>
  <si>
    <t>55030</t>
  </si>
  <si>
    <t>Taksoteenused</t>
  </si>
  <si>
    <t>55130</t>
  </si>
  <si>
    <t>KS10009999</t>
  </si>
  <si>
    <t>Pikaajalised lähetused</t>
  </si>
  <si>
    <t>55031</t>
  </si>
  <si>
    <t>KS100T0610</t>
  </si>
  <si>
    <t>Tegevustoetus</t>
  </si>
  <si>
    <t>10SE100002</t>
  </si>
  <si>
    <t>IT Agentuuri töötajate käibemaksu hüvitis</t>
  </si>
  <si>
    <t>Esinduskulu</t>
  </si>
  <si>
    <t>550040</t>
  </si>
  <si>
    <t>S10-JK-ESINDUS</t>
  </si>
  <si>
    <t>Tõlge</t>
  </si>
  <si>
    <t>550003</t>
  </si>
  <si>
    <t>S10-TÕLK</t>
  </si>
  <si>
    <t>S10-ELVO-EKTL</t>
  </si>
  <si>
    <t>ATA Erisoodustused</t>
  </si>
  <si>
    <t>KS100T0600</t>
  </si>
  <si>
    <t>S10-PR-ELV</t>
  </si>
  <si>
    <t>S10-RES-MAJ-KAN</t>
  </si>
  <si>
    <t>KS100T0000</t>
  </si>
  <si>
    <t>S10-PR-JK</t>
  </si>
  <si>
    <t>S10-KO-SIM-AASTAPAEV</t>
  </si>
  <si>
    <t>S10-KO-SIM-VAARTPAEV</t>
  </si>
  <si>
    <t>S10-KO-MEEDIA</t>
  </si>
  <si>
    <t>S10-KO-MUU</t>
  </si>
  <si>
    <t>S10-KO-RIIK-VABARIIK</t>
  </si>
  <si>
    <t>S10-KO-BRIIF</t>
  </si>
  <si>
    <t>S10-KO-VEEB</t>
  </si>
  <si>
    <t>S10-KO-SIM-SKAPARIM</t>
  </si>
  <si>
    <t>KS100T0300</t>
  </si>
  <si>
    <t>S10-KO-SIM-ARVAMFEST</t>
  </si>
  <si>
    <t>S10-PR-KO</t>
  </si>
  <si>
    <t>1S10-SF21</t>
  </si>
  <si>
    <t>KS100S1100</t>
  </si>
  <si>
    <t>1S10-TA21-07121KOOS</t>
  </si>
  <si>
    <t>S10-PR-KKP</t>
  </si>
  <si>
    <t>S10-KO-SIM-VABATAHTL</t>
  </si>
  <si>
    <t>KS100S2000</t>
  </si>
  <si>
    <t>S10-PR-KEA</t>
  </si>
  <si>
    <t xml:space="preserve"> Digi- ja teabehaldusosakond</t>
  </si>
  <si>
    <t>Lisa 1</t>
  </si>
  <si>
    <t xml:space="preserve">Elanikkonnakaitse osakond </t>
  </si>
  <si>
    <t>Lisa 2</t>
  </si>
  <si>
    <t xml:space="preserve">Avalikud hoiatusteated eelistatud keeles. </t>
  </si>
  <si>
    <t xml:space="preserve">Osakonna otsekulud </t>
  </si>
  <si>
    <t>Tulemustasu</t>
  </si>
  <si>
    <t>Vabatahtlike portaali loomise tegevuskulud</t>
  </si>
  <si>
    <t>Päästevõimekuse suurendamine. Grandile on avatud eelarve.</t>
  </si>
  <si>
    <t>Eelarvekonto</t>
  </si>
  <si>
    <t>Euroopa Liidu ja välissuhete osakond</t>
  </si>
  <si>
    <t>Lisa 3</t>
  </si>
  <si>
    <t>Eesti-Ukraina koostöö sh ka EKTL.</t>
  </si>
  <si>
    <t>Kantsler</t>
  </si>
  <si>
    <t>Lisa 4</t>
  </si>
  <si>
    <t xml:space="preserve">Aastalõpupeo kulud kokku </t>
  </si>
  <si>
    <t>505/55</t>
  </si>
  <si>
    <t>Vabariigi aastapäeva kulud kokku</t>
  </si>
  <si>
    <t>SIM veebi arendamine</t>
  </si>
  <si>
    <t>Arvamusfestival</t>
  </si>
  <si>
    <t>Väärtuste päev</t>
  </si>
  <si>
    <t>Briifing projekti kulud kokku</t>
  </si>
  <si>
    <t>Meediamonitoringu teenus</t>
  </si>
  <si>
    <t>Muud kommunikatsiooni projektid</t>
  </si>
  <si>
    <t>Osakonna otsekulud</t>
  </si>
  <si>
    <t>SIM väärtuste seminari ja väärtuste päeva korraladmine</t>
  </si>
  <si>
    <t>SKA parimate õppurite tunnustamise ürituse kulud</t>
  </si>
  <si>
    <t>Arvamusfestivalil osalemine</t>
  </si>
  <si>
    <t>SIM aastapäeva üritus</t>
  </si>
  <si>
    <t>Kommunikatsiooniosakond</t>
  </si>
  <si>
    <t>Lisa 5</t>
  </si>
  <si>
    <t>Avatud on välisvahendite tehnilise abi eelarve "Koosloome arengukiirendi".</t>
  </si>
  <si>
    <t xml:space="preserve">Noorte tööhõivevalmiduse toetamine. </t>
  </si>
  <si>
    <t xml:space="preserve">Korrakaitse ja süüteomenetluse osakond </t>
  </si>
  <si>
    <t>Lisa 6</t>
  </si>
  <si>
    <t>Kriisivalmiduse ja elanikkonnakaitse asekantsler</t>
  </si>
  <si>
    <t>Lisa 7</t>
  </si>
  <si>
    <t>Selgitused</t>
  </si>
  <si>
    <t>KS100S2500</t>
  </si>
  <si>
    <t>S10-KRIIS-VALMIDUS</t>
  </si>
  <si>
    <t>S10-RK-124-K</t>
  </si>
  <si>
    <t>506</t>
  </si>
  <si>
    <t>S10-PR-KVO</t>
  </si>
  <si>
    <t>KS100T1200</t>
  </si>
  <si>
    <t>S10-KEELTOIM</t>
  </si>
  <si>
    <t>S10-PR-ÕO</t>
  </si>
  <si>
    <t>Jur.teenus</t>
  </si>
  <si>
    <t>550050</t>
  </si>
  <si>
    <t>Kohtukulud</t>
  </si>
  <si>
    <t>608</t>
  </si>
  <si>
    <t>KS100T0100</t>
  </si>
  <si>
    <t>KS10009996</t>
  </si>
  <si>
    <t>S10-SPORT</t>
  </si>
  <si>
    <t>S10-TERVIS</t>
  </si>
  <si>
    <t>S10-JUHT</t>
  </si>
  <si>
    <t>S10-KAAST</t>
  </si>
  <si>
    <t>S10-STEB</t>
  </si>
  <si>
    <t>Personaliteenus</t>
  </si>
  <si>
    <t>550052</t>
  </si>
  <si>
    <t>Spordikulud</t>
  </si>
  <si>
    <t>554030</t>
  </si>
  <si>
    <t>S10-PR-PO</t>
  </si>
  <si>
    <t>KS100S1300</t>
  </si>
  <si>
    <t>Liikmemaks</t>
  </si>
  <si>
    <t>20SE000003</t>
  </si>
  <si>
    <t>S10-ABIS-LIIKMEM</t>
  </si>
  <si>
    <t>S10-IOM-LIIKMEM</t>
  </si>
  <si>
    <t>Toetused</t>
  </si>
  <si>
    <t>S10-KEELEOPE</t>
  </si>
  <si>
    <t>S10-PR-PRO</t>
  </si>
  <si>
    <t>KS100T1500</t>
  </si>
  <si>
    <t>S10-RK-124-T</t>
  </si>
  <si>
    <t>S10-PR-JK-TS</t>
  </si>
  <si>
    <t>S10-PR-MAKSUD</t>
  </si>
  <si>
    <t>S10-PR-RES</t>
  </si>
  <si>
    <t>S10-PR-RHO</t>
  </si>
  <si>
    <t>Maksud (osakondade erisoodustustelt)</t>
  </si>
  <si>
    <t>Tegevustoetus (Erakonnad)</t>
  </si>
  <si>
    <t>20SE100001</t>
  </si>
  <si>
    <t>08400</t>
  </si>
  <si>
    <t>Töötasu ja maksud</t>
  </si>
  <si>
    <t>Valitsemisala projekt</t>
  </si>
  <si>
    <t>S10-IN-valala-RES-ABIS</t>
  </si>
  <si>
    <t>S10-IN-valala-RES-MUU</t>
  </si>
  <si>
    <t>20IN003000</t>
  </si>
  <si>
    <t>S10-IN-valala-RES-Ranne</t>
  </si>
  <si>
    <t>Investeeringud muud</t>
  </si>
  <si>
    <t>20IN005000</t>
  </si>
  <si>
    <t>Investeeringud transportvara</t>
  </si>
  <si>
    <t>S10-IN-valala-RES-TR</t>
  </si>
  <si>
    <t>S10-IN-valala-RES-KRIT</t>
  </si>
  <si>
    <t>S10-IN-valala-RES-MUU-MAJ</t>
  </si>
  <si>
    <t>S10-OHT</t>
  </si>
  <si>
    <t>S10-valala-rande</t>
  </si>
  <si>
    <t>S10-RAHVR-KULU</t>
  </si>
  <si>
    <t>S10-VALIM</t>
  </si>
  <si>
    <t>S10-RTO-KONV</t>
  </si>
  <si>
    <t>S10-PR-RTO</t>
  </si>
  <si>
    <t>9S10-RR20-03123RRF</t>
  </si>
  <si>
    <t>RRF tehniline abi, programm "Nutikas rahvastikuarvestus"</t>
  </si>
  <si>
    <t>KS100T0400</t>
  </si>
  <si>
    <t>S10-PR-SAO</t>
  </si>
  <si>
    <t>9S10-AM21-TA-SAO</t>
  </si>
  <si>
    <t>9S10-BM21-TA-SAO</t>
  </si>
  <si>
    <t>SAO osalus tehniline abi Piirihalduse ja viisapoliitika</t>
  </si>
  <si>
    <t>9S10-IS21-TA-SAO</t>
  </si>
  <si>
    <t>SAO osalus Sisejulgeolekufondi politseikoostöö ja kriisiohje rahastamisvahend</t>
  </si>
  <si>
    <t>SAO osalus tehniline abi Varjupaiga-, rände- ja integratsioonifond 2021-2027</t>
  </si>
  <si>
    <t>KS100S1000</t>
  </si>
  <si>
    <t>S10-PR-SAK</t>
  </si>
  <si>
    <t>KS100S3500</t>
  </si>
  <si>
    <t>S10-PR-SJO</t>
  </si>
  <si>
    <t>KS100S0000</t>
  </si>
  <si>
    <t>S10-RES-MAJ-SM</t>
  </si>
  <si>
    <t>reserv</t>
  </si>
  <si>
    <t>S10-PR-SM</t>
  </si>
  <si>
    <t>S10-TEADUS</t>
  </si>
  <si>
    <t>S10-STAK</t>
  </si>
  <si>
    <t>S10-PLANPRO</t>
  </si>
  <si>
    <t>Õppetoetus</t>
  </si>
  <si>
    <t>S10-STIPENDIUM</t>
  </si>
  <si>
    <t>S10-PR-STO</t>
  </si>
  <si>
    <t>KS100R1700</t>
  </si>
  <si>
    <t>Õppevahendid</t>
  </si>
  <si>
    <t>5524</t>
  </si>
  <si>
    <t>S10-K-SYNDMUS</t>
  </si>
  <si>
    <t>S10-K-KYSK</t>
  </si>
  <si>
    <t>S10-K-KYSK-AREND</t>
  </si>
  <si>
    <t>S10-K-KYSK-INNO</t>
  </si>
  <si>
    <t>S10-K-KYSK-KOGUK</t>
  </si>
  <si>
    <t>S10-K-KYSK-VABAYH</t>
  </si>
  <si>
    <t>S10-K-STRAT</t>
  </si>
  <si>
    <t>S10-K-USK-DIASP</t>
  </si>
  <si>
    <t>S10-K-USK-EKN</t>
  </si>
  <si>
    <t>S10-K-USK-MUUD</t>
  </si>
  <si>
    <t>S10-K-KYSK-HALDUS</t>
  </si>
  <si>
    <t>S10-K-STRAT-KODU</t>
  </si>
  <si>
    <t>S10-PR-UKO</t>
  </si>
  <si>
    <t>6S10-SH00-01132</t>
  </si>
  <si>
    <t>Eesti-Sveitsi koostööprogramm</t>
  </si>
  <si>
    <t>S1SSF-RT21-04772</t>
  </si>
  <si>
    <t>Kodanikuühiskonna mõju suurendamine ja arengu toetamine</t>
  </si>
  <si>
    <t>S6SSH-RT00-01133</t>
  </si>
  <si>
    <t>Kodanikuühiskonna tugevdamine sotsiaalse innovatsiooni edendamise teel</t>
  </si>
  <si>
    <t>KS100S3600</t>
  </si>
  <si>
    <t>9S10-BM21-TA-VVO</t>
  </si>
  <si>
    <t>1S10-TA21-07121</t>
  </si>
  <si>
    <t>9S10-AM21-TA-VVO</t>
  </si>
  <si>
    <t>VVO osalus tehniline abi Varjupaiga-, rände- ja integratsioonifond 2021-2027</t>
  </si>
  <si>
    <t>VVO osalus tehniline abi Piirihalduse ja viisapoliitika</t>
  </si>
  <si>
    <t>9S10-IS21-TA-VVO</t>
  </si>
  <si>
    <t>VVO osalus Sisejulgeolekufondi politseikoostöö ja kriisiohje rahastamisvahend</t>
  </si>
  <si>
    <t>S9SAM-SI21</t>
  </si>
  <si>
    <t>20SR100012</t>
  </si>
  <si>
    <t>S9SBM-SI21</t>
  </si>
  <si>
    <t>03100</t>
  </si>
  <si>
    <t>Maismaapiiri patrullivõimekuse tõstmine</t>
  </si>
  <si>
    <t>S9SIS-SI21</t>
  </si>
  <si>
    <t>Teabevahetuse tõhustamine ja hõlbustamine</t>
  </si>
  <si>
    <t>KS100T1000</t>
  </si>
  <si>
    <t>S10-PR-VAK</t>
  </si>
  <si>
    <t>KS10009997</t>
  </si>
  <si>
    <t>KS100T1700</t>
  </si>
  <si>
    <t>S10-RK-022</t>
  </si>
  <si>
    <t>20SE000028</t>
  </si>
  <si>
    <t>S10-RKAS-UUR</t>
  </si>
  <si>
    <t>S10-IN-TRV</t>
  </si>
  <si>
    <t>Kinnistute kulud</t>
  </si>
  <si>
    <t>5511</t>
  </si>
  <si>
    <t>S10-KIN-KOR</t>
  </si>
  <si>
    <t>Kinnistute kulud (RKAS)</t>
  </si>
  <si>
    <t>S10-PR-VHO</t>
  </si>
  <si>
    <t>Trükised</t>
  </si>
  <si>
    <t>550001</t>
  </si>
  <si>
    <t>S10-KO-TRYKIS-PERIOD</t>
  </si>
  <si>
    <t>Tegevuskulud</t>
  </si>
  <si>
    <t>50/55</t>
  </si>
  <si>
    <t>S10-KOOL</t>
  </si>
  <si>
    <t>S10-PERSONAL</t>
  </si>
  <si>
    <t>50/55/45</t>
  </si>
  <si>
    <t>Kriisivalmiduse osakond</t>
  </si>
  <si>
    <t>Lisa 8</t>
  </si>
  <si>
    <t>Personaliosakond</t>
  </si>
  <si>
    <t>Lisa 9</t>
  </si>
  <si>
    <t>Piirivalve- ja rändeosakond</t>
  </si>
  <si>
    <t>Lisa 10</t>
  </si>
  <si>
    <t>Rahandusosakond</t>
  </si>
  <si>
    <t>Lisa 11</t>
  </si>
  <si>
    <t>Rahvastiku toimingute osakond</t>
  </si>
  <si>
    <t>Lisa 12</t>
  </si>
  <si>
    <t>Siseauditi osakond</t>
  </si>
  <si>
    <t>Lisa 13</t>
  </si>
  <si>
    <t>Sisejulgeoleku asekantsler</t>
  </si>
  <si>
    <t>Lisa 14</t>
  </si>
  <si>
    <t>Sisejulgeoleku osakond</t>
  </si>
  <si>
    <t>Lisa 15</t>
  </si>
  <si>
    <t>Siseminister</t>
  </si>
  <si>
    <t>Lisa 16</t>
  </si>
  <si>
    <t>Strateegia- ja arendusosakond</t>
  </si>
  <si>
    <t>Lisa 17</t>
  </si>
  <si>
    <t>Usuasjade ja kodanikuühiskonna osakond</t>
  </si>
  <si>
    <t>Lisa 18</t>
  </si>
  <si>
    <t>Varade asekantsler</t>
  </si>
  <si>
    <t>Lisa 19</t>
  </si>
  <si>
    <t>Varahaldusosakond</t>
  </si>
  <si>
    <t>Lisa 20</t>
  </si>
  <si>
    <t>Välisvahendite osakond</t>
  </si>
  <si>
    <t>Lisa 21</t>
  </si>
  <si>
    <t>Õigusosakond</t>
  </si>
  <si>
    <t>Lisa 22</t>
  </si>
  <si>
    <t>SKA eelarvesse karjäärikeskuse eelarve.</t>
  </si>
  <si>
    <t>Erinevate tasemete juhtidele suunatud arendusprogrammid.</t>
  </si>
  <si>
    <t>Stebby kulud</t>
  </si>
  <si>
    <t>RTO korraldatav igaaastane kahepäevane konverents</t>
  </si>
  <si>
    <t>RRF tehniline abi, programm "Nutikas rahvastikuarvestus". Eelarve on SMITile üle antud.</t>
  </si>
  <si>
    <t>otsekulud (erisoodustusmaksudega maksustatavad kulud)</t>
  </si>
  <si>
    <t xml:space="preserve">otsekulud (esinduskulud) </t>
  </si>
  <si>
    <t>Eestikeelsete jumalateenistuste läbiviimiseks eestlaste kogudustes välismaal.</t>
  </si>
  <si>
    <t xml:space="preserve">Eesti Kirikute Nõukogu tegevuse toetamine. </t>
  </si>
  <si>
    <t>Tsentraalsed kulud. Muudatused: 1. 12 000 eurot sidekulude eelarve suunatakse DTO eelarvest VHO eelarvesse; 2. 2 000 eurot on kantud 2024.a eelarvest 2025.a VHO eelarvesse massaazitooli soetamiseks; 3. 839 eurot suunati kantsleri eelarvest SIM reservist VHO tsentraalsete kuludesse (TEKO ala uuendamine).</t>
  </si>
  <si>
    <t>Posti- ja sidekulud</t>
  </si>
  <si>
    <t xml:space="preserve">Korralise remondi kulud </t>
  </si>
  <si>
    <t>Perioodilised väljaanded</t>
  </si>
  <si>
    <t>Tulemustasu 14 850 eurot. 620 eurot tagastati tulemustasu reservi VHO tulemustasufondist (rahastamisallika muutmine varude nõunik).</t>
  </si>
  <si>
    <t>Laovõimekuse tõstmine hübriidohtudega paremaks toimetulekuks VV sihtotstarbelisest reservist eraldatud 66 000 eurot.</t>
  </si>
  <si>
    <t>VV reservist saadud BMVI fondile kaasfinantseerimine</t>
  </si>
  <si>
    <t>20/43</t>
  </si>
  <si>
    <t xml:space="preserve">osakondade erisoodustuse maksud aasta kulu on 67 708 eurot. </t>
  </si>
  <si>
    <t>Riigi kriisiõppus/kompleksõppus. VV sihtotstarbelisest reservist eraldatud vahendid (KVO kahe teenistujate palgakulud).</t>
  </si>
  <si>
    <t xml:space="preserve">otsekulud (erisoodustusmaksudega maksustatavad kulud). </t>
  </si>
  <si>
    <t xml:space="preserve">Küberturbe tagamine. </t>
  </si>
  <si>
    <t xml:space="preserve">RS projekti eelarve. </t>
  </si>
  <si>
    <t xml:space="preserve">Kohalike omavalitsuste kriisivõimekuse suurendamine.  </t>
  </si>
  <si>
    <t>Vabatahtlike portaali loomise tegevuskulud. SMITi grandi 9S40-RR20-03123RRF eelarvest suunati vabad vahendid SiMi eelarvesse.</t>
  </si>
  <si>
    <t xml:space="preserve">PPA 2025.a eelarves on 19.-20.06.2025 Eestis toimunud DK-EE-FI-LV-LT-NO-SE-UA siseministrite ja EK voliniku kohtumisega tekkinud kulud kogusummas 5438 eurot. Kulud kaetakse kahest rahastamisallikast järgmiselt: 1. 3438 eurot suuname ELVO juhtkonna esinduskulud; 2. 2000 eurot - SIM majandamiskulude reservist, kantsleri eelarvest. </t>
  </si>
  <si>
    <t>Kantsleri eelarvest SIM jaotamata reservist suunatakse ELVO eelarvesse 50 000 eurot lähetuskuludeks.</t>
  </si>
  <si>
    <t>Tulemustasu.  Tulemustasufondi reservist suunati ELVO tulemustasufondi kahe teenistuja tunnustamiseks ning erialadiplomaatide tulemustasuks.</t>
  </si>
  <si>
    <t xml:space="preserve">otsekulud (esinduskulud). 500 eurot kantsleri otsekulude eelarvesse tekkinud kulude katteks. </t>
  </si>
  <si>
    <t>Tulemustasufondi reservist suunati 34 150 eurot kantsleri tulemustasufondi (asekantslerite, ministeeriumi nõunike ja SAO osakonnajuhataja tulemustasud).</t>
  </si>
  <si>
    <t>Tulemustasu. Tulemustasufondi reservist suunati 2900 eurot asekantsleri tulemustasufondi (EKO osakonnajuhataja).</t>
  </si>
  <si>
    <t>Noorte tööhõivevalmiduse toetamine. Grandile on avatud eelarve.</t>
  </si>
  <si>
    <t>Riigi kriisiõppus/kompleksõppus. SIM poolt korraldatavate õppuste eelarvesse VV sihtotstarbelisest reservist eraldatud vahendid tagastati valitsemisala laiapindse riigikaitse (LPRK) eelarvesse.</t>
  </si>
  <si>
    <t>DELA õppus</t>
  </si>
  <si>
    <t>Tulemustasu. TEOS koostamise lisapanus, KLIM kandis RE muutmisega SiMi eelarvesse 7 000 eurot (summa koos tööandja maksudega, bruto 5 232 eurot), et maksta KVO teenistujale vastava tasu täiendavate ülesannete täitmise eest TEOS koostamisel perioodil 01.07.2025-30.11.2025.</t>
  </si>
  <si>
    <t>Tulemustasu. Tulemustasufondi reservist suunati 450 eurot PO tulemustasufondi.</t>
  </si>
  <si>
    <t>PO projekti SPORT eelarvesse suunati kantsleri eelarvest SIM majandamiskulude reservist 605 eurot võrkpalli turniiri korraldamise kulude katteks.</t>
  </si>
  <si>
    <t>SIM jaotamata majandamiskulude reserv. Reservi muutus. 1. ELVO eelarvesse 50 000 eurot lähetuskuludeks; 2. PO projekti SPORT eelarvesse suunati 605 eurot võrkpalli turniiri korraldamise kulude katteks; 3. UKO õigusabiteenuse lepingu kulude katteks suunati ÕO juriidilise teenuse eelarvesse 17 174 eurot; 4. Keeleõppe projekti eelarvejääk 245 000 eurot suunati SIM jaotamata tegevuskulude reservi; 5. Kantsleri otsekulude eelarvesse info -ja PR kulude katteks suunati 500 eurot; 6. Keelelise toimetamise tellimise lepingu mahu suurendamine 2100 eurot suunati ÕO projekti S10-KEELETOIM eelarvesse; 7.  RHO otsekulude eelarvesse 500 eurot osakonna ja finantsvõrgustiku kohtumiste kuludeks; 8. Biomeetria instituudi (ABIS) uue perioodi liikmemaksu tegelike kulude katteks suunati 60 eurot PRO eelarvesse.</t>
  </si>
  <si>
    <t>Biomeetria instituudi liikmemaks (ABIS). Kantsleri eelarvest SIM majandamiskulude reservist suunati ABIS uue perioodi liikmemaksu tegelike kulude katteks 60 eurot.</t>
  </si>
  <si>
    <t xml:space="preserve">Rahvusvaheline Migratsiooniorganisatsioon (IOM) liikmemaks. </t>
  </si>
  <si>
    <t>Eesti keele keeleõppe korraldamine välismaalastele. Keeleõppe projekti eelarvejääk 245 000 eurot suunati SIM jaotamata tegevuskulude reservi.</t>
  </si>
  <si>
    <t>Rändemenetluse reserv. Vastuvõetud reservide jaotamise otsustest lähtuvalt: 1. Digikioskite rendikulude eelarve 247 535 eurot suunati SMITi eelarvesse; 2. 104 465 eurot PPA eelarvesse.</t>
  </si>
  <si>
    <t>Vastuvõetud reservide jaotamise otsustest lähtuvalt suunati asutuste eelarvesse.</t>
  </si>
  <si>
    <t>Muude investeeringute reserv. Vastuvõetud reservide jaotamise otsustest lähtuvalt suunati asutuste eelarvesse.</t>
  </si>
  <si>
    <t>Valitsemisala tegevuskulude reserv. Vastuvõetud reservide jaotamise otsustest lähtuvalt suunati asutuste eelarvesse.</t>
  </si>
  <si>
    <t>Rändemenetluse reserv. Vastuvõetud reservide jaotamise otsustest lähtuvalt suunati asutuste eelarvesse.</t>
  </si>
  <si>
    <t>Transportvara reserv. Vastuvõetud reservide jaotamise otsustest lähtuvalt suunati PPA eelarvesse.</t>
  </si>
  <si>
    <t>Ohuteavitussüsteemi loomise (äritellimuse) ja teenuse juhtimise kulud. Vastuvõetud reservide jaotamise otsustest lähtuvalt suunati asutuste eelarvesse.</t>
  </si>
  <si>
    <t>Tsentraalsed preemiad. Kuue parimate tunnustamiseks eelarve suunatakse tulemustasufondi reservist tsentraalsete tunnustuste eelarvesse 13 846 eurot.</t>
  </si>
  <si>
    <t>Tulemustasude maksudeks eelarve planeeritud eraldi reale. TEOS koostamise lisapanus, KLIM kandis RE muutmisega SiMi eelarvesse 7 000 eurot (summa koos tööandja maksudega, bruto 5 232 eurot), et maksta KVO teenistujale vastava tasu täiendavate ülesannete täitmise eest TEOS koostamisel perioodil 01.07.2025-30.11.2025.</t>
  </si>
  <si>
    <t xml:space="preserve">Tulemustasufondi reservist suunati kantsleri otsustest lähtuvalt osakondade ja asekantslerite eelarvesse.  </t>
  </si>
  <si>
    <t xml:space="preserve">Osakonna otsekulud. RHO otsekulude eelarvesse suunati kantsleri eelarvest SIM majandamiskulude reservist 500 eurot osakonna ja finantsvõrgustiku kohtumiste kuludeks. </t>
  </si>
  <si>
    <t xml:space="preserve">SIM üldised tööjõukulud. </t>
  </si>
  <si>
    <t>VV sihtotstarbelisest reservist ABISe ülalpidamiseks planeeritud vahendid.  Vastuvõetud reservide jaotamise otsustest lähtuvalt suunati SMITi eelarvesse.</t>
  </si>
  <si>
    <t xml:space="preserve">Tulemustasu. Tulemustasufondi reservist suunati 4000 eurot sisejulgeoleku asekantsleri tulemustasufondi. </t>
  </si>
  <si>
    <t>SAO osalus tehniline abi Varjupaiga-, rände- ja integratsioonifond 2021-2027.  Grandile on avatud eelarve.</t>
  </si>
  <si>
    <t>SAO osalus tehniline abi Piirihalduse ja viisapoliitika.  Grandile on avatud eelarve.</t>
  </si>
  <si>
    <t>SAO osalus Sisejulgeolekufondi politseikoostöö ja kriisiohje rahastamisvahend.  Grandile on avatud eelarve.</t>
  </si>
  <si>
    <t>Tulemustasu. Tulemustasufondi reservist suunati 18 143 eurot siseministri tulemustasufondi (kantsleri ja siseministri nõunike tulemustasu).</t>
  </si>
  <si>
    <t>Valitsemisala reservist eraldati SIM STAO projekti PlanPro eelarvesse 20 796 eurot.</t>
  </si>
  <si>
    <t>Teadus-, arendus- ja innovatsioontegevus. Muudatused: 1. PPA eelarvesse "Mehitamata õhusõiduki kasutamine" 20 000 eurot; „Erinevaid valgusspektreid kasutava kuriteojälgede otsimise ja jäädvustamise tehnoloogia kasutamise võimalused sündmuskohtadelt andmete kogumiseks“ 39 990 eurot; „Erinevaid valgusspektreid kasutava kuriteojälgede otsimise ja jäädvustamise tehnoloogia kasutamise võimalused sündmuskohtadelt andmete kogumiseks“ Tartu Ülikoolile uuringu eest 23 500 eurot. 2. 427 875 eurot SKA teadus- ja innovatsiooni projekti eelarvesse.</t>
  </si>
  <si>
    <t>S10-K-ALGATUS-SYND</t>
  </si>
  <si>
    <t xml:space="preserve">Kodanikuühiskonna strateegilised partnerid. </t>
  </si>
  <si>
    <t xml:space="preserve">Kodanikuühiskonna Sihtkapital SA (KÜSK) toetus. </t>
  </si>
  <si>
    <t>Kodanikuühiskonna valdkonna projektide vahelised muudatused.</t>
  </si>
  <si>
    <t>Vabatahtluse tunnustamine jm kodanikuühiskonna valdkonna sündmused. Kodanikuühiskonna valdkonna projektide vahelised muudatused.</t>
  </si>
  <si>
    <t xml:space="preserve">Usuliste ühenduste tegevuse toetamine. </t>
  </si>
  <si>
    <t>Tulemustasu. 2500 eurot suunatakse tulemustasu reservist VAK tulemustasufondi.</t>
  </si>
  <si>
    <t xml:space="preserve">SIM transportvara kasutamata jääk on PPA transportvara eelarvesse üleantud.  </t>
  </si>
  <si>
    <t>RKAS sh SIM Lai ja Pikk tn, Rakvere ja Kärdla üürikulud. PPA ja SIMi vaheline eelarve muudatus tekkinud kulude katteks.</t>
  </si>
  <si>
    <t>VVO osalus Sisejulgeolekufondi politseikoostöö ja kriisiohje rahastamisvahend. Grandile on avatud eelarve.</t>
  </si>
  <si>
    <t>VVO osalus tehniline abi Piirihalduse ja viisapoliitika. Grandile on avatud eelarve.</t>
  </si>
  <si>
    <t>VVO osalus tehniline abi Varjupaiga-, rände- ja integratsioonifond 2021-2027. Grandile on avatud eelarve.</t>
  </si>
  <si>
    <t>Uue perioodi tehniline abi</t>
  </si>
  <si>
    <t>Uue perioodi tehniline abi. Grandile on avatud eelarve.</t>
  </si>
  <si>
    <t>Keelelise toimetamise tellimise lepingu mahu suurendamine, kantsleri eelarvest SIM jaotamata majandamiskulude reservist suunatakse 2100 eurot ÕO projekti S10-KEELTOIM eelarvesse.</t>
  </si>
  <si>
    <t>UKO õigusabiteenuse lepingu kulude katteks suunati kantsleri eelarvest SIM jaotamata reservist ÕO juriidilise teenuse eelarvesse.</t>
  </si>
  <si>
    <t xml:space="preserve">Eelarve 23.09.2025 seisuga </t>
  </si>
  <si>
    <t>Muudatused</t>
  </si>
  <si>
    <t>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</si>
</sst>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8" xfId="0" applyNumberFormat="1" applyFont="1" applyBorder="1"/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3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3" fontId="2" fillId="0" borderId="6" xfId="0" applyNumberFormat="1" applyFont="1" applyBorder="1"/>
    <xf numFmtId="3" fontId="2" fillId="0" borderId="9" xfId="0" applyNumberFormat="1" applyFont="1" applyBorder="1"/>
    <xf numFmtId="3" fontId="2" fillId="0" borderId="3" xfId="0" applyNumberFormat="1" applyFont="1" applyBorder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/>
    <xf numFmtId="3" fontId="2" fillId="2" borderId="1" xfId="0" applyNumberFormat="1" applyFont="1" applyFill="1" applyBorder="1"/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6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3" fontId="3" fillId="0" borderId="6" xfId="0" applyNumberFormat="1" applyFont="1" applyBorder="1"/>
    <xf numFmtId="0" fontId="7" fillId="0" borderId="0" xfId="0" applyFont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3" fontId="2" fillId="0" borderId="6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6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6327414-2B7C-46D7-929A-03BC91127505}" name="Table1" displayName="Table1" ref="A2:L15" totalsRowCount="1" headerRowDxfId="615" dataDxfId="614" totalsRowDxfId="613">
  <autoFilter ref="A2:L14" xr:uid="{86327414-2B7C-46D7-929A-03BC91127505}"/>
  <sortState xmlns:xlrd2="http://schemas.microsoft.com/office/spreadsheetml/2017/richdata2" ref="A3:L14">
    <sortCondition ref="B2:B14"/>
  </sortState>
  <tableColumns count="12">
    <tableColumn id="1" xr3:uid="{9181D635-1213-4700-8E84-47F7160AA9A0}" name="Nimetus" dataDxfId="612" totalsRowDxfId="611"/>
    <tableColumn id="2" xr3:uid="{8BCD9018-54AF-42A4-8BB9-73EFF81BFE05}" name="Kulugrupp" dataDxfId="610" totalsRowDxfId="609"/>
    <tableColumn id="3" xr3:uid="{5175BF02-F2D3-4D03-9442-D3EDFAE947DD}" name="Eelarvekonto" dataDxfId="608" totalsRowDxfId="607"/>
    <tableColumn id="4" xr3:uid="{D4E796C1-E089-4184-BE86-2D3849C49B41}" name="Eelarve liik ja objekt" dataDxfId="606" totalsRowDxfId="605"/>
    <tableColumn id="5" xr3:uid="{1E125E95-A299-448A-8927-E4FCCDF64C92}" name="Eelarve projekt" dataDxfId="604" totalsRowDxfId="603"/>
    <tableColumn id="6" xr3:uid="{8192D6BB-88F3-42FC-8204-8976075CBCBA}" name="Grant" dataDxfId="602" totalsRowDxfId="601"/>
    <tableColumn id="7" xr3:uid="{C9499C92-1B1C-4D4B-A00B-F7CC08ACAEA6}" name="Tegevusala" dataDxfId="600" totalsRowDxfId="599"/>
    <tableColumn id="8" xr3:uid="{1BAFC64C-EE5F-4C8E-A001-65074BD4549C}" name="Kuluüksus" dataDxfId="598" totalsRowDxfId="597"/>
    <tableColumn id="11" xr3:uid="{1541465A-019B-45AA-97A5-C6BB23B4BCFC}" name="Eelarve 23.09.2025 seisuga " totalsRowFunction="sum" dataDxfId="596" totalsRowDxfId="595"/>
    <tableColumn id="14" xr3:uid="{BA959211-E229-4CFC-B3DC-48B80151404C}" name="Muudatused" totalsRowFunction="sum" dataDxfId="594" totalsRowDxfId="593"/>
    <tableColumn id="13" xr3:uid="{5C118BEA-8F1E-49F3-8AB9-E5B421FD8F7F}" name="Eelarve" totalsRowFunction="sum" dataDxfId="592" totalsRowDxfId="591">
      <calculatedColumnFormula>Table1[[#This Row],[Eelarve 23.09.2025 seisuga ]]+Table1[[#This Row],[Muudatused]]</calculatedColumnFormula>
    </tableColumn>
    <tableColumn id="12" xr3:uid="{41C3CEDD-FEB1-446B-8341-D486D5B063A4}" name="Selgitused" dataDxfId="590" totalsRowDxfId="58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469731B-7A66-48FA-B02F-FDE8A799FEB3}" name="Table111" displayName="Table111" ref="A2:L9" totalsRowCount="1" headerRowDxfId="370" dataDxfId="369" totalsRowDxfId="368">
  <autoFilter ref="A2:L8" xr:uid="{4469731B-7A66-48FA-B02F-FDE8A799FEB3}"/>
  <tableColumns count="12">
    <tableColumn id="1" xr3:uid="{23042988-0BED-4E1B-9D2A-7E4A4A23A09F}" name="Nimetus" dataDxfId="367" totalsRowDxfId="366"/>
    <tableColumn id="2" xr3:uid="{05B42B88-2F31-4637-8E85-73F2E1D3372B}" name="Kulugrupp" dataDxfId="365" totalsRowDxfId="364"/>
    <tableColumn id="3" xr3:uid="{8C1F7792-17CF-406F-AA63-F53456BB3460}" name="Eelarvekonto" dataDxfId="363" totalsRowDxfId="362"/>
    <tableColumn id="4" xr3:uid="{11F169AC-992B-477D-A5CF-0A61270EE4EC}" name="Eelarve liik ja objekt" dataDxfId="361" totalsRowDxfId="360"/>
    <tableColumn id="5" xr3:uid="{BE05596D-200B-4075-9757-2C518025F00B}" name="Eelarve projekt" dataDxfId="359" totalsRowDxfId="358"/>
    <tableColumn id="6" xr3:uid="{B88E0A6A-DDCE-4D05-AD0D-2EA6C601601B}" name="Grant" dataDxfId="357" totalsRowDxfId="356"/>
    <tableColumn id="7" xr3:uid="{645A75A2-FEFF-4C78-BCDC-18C230E58DF7}" name="Tegevusala" dataDxfId="355" totalsRowDxfId="354"/>
    <tableColumn id="8" xr3:uid="{82F47938-DA12-4A9F-BD62-85E8C45485BB}" name="Kuluüksus" dataDxfId="353" totalsRowDxfId="352"/>
    <tableColumn id="11" xr3:uid="{C9130C4D-382C-4861-940B-4C00B716DD8C}" name="Eelarve 23.09.2025 seisuga " totalsRowFunction="sum" dataDxfId="351" totalsRowDxfId="350"/>
    <tableColumn id="13" xr3:uid="{903CBA3E-AA72-46B5-A2EC-1D778D0D32C1}" name="Muudatused" totalsRowFunction="sum" dataDxfId="349" totalsRowDxfId="348"/>
    <tableColumn id="14" xr3:uid="{8B8B2EA3-022C-49AB-8B7C-4DEABC4C95D1}" name="Eelarve" totalsRowFunction="sum" dataDxfId="347" totalsRowDxfId="346">
      <calculatedColumnFormula>Table111[[#This Row],[Eelarve 23.09.2025 seisuga ]]+Table111[[#This Row],[Muudatused]]</calculatedColumnFormula>
    </tableColumn>
    <tableColumn id="12" xr3:uid="{CEC75F93-A347-44D4-8D44-7B155D06A6C0}" name="Selgitused" dataDxfId="345" totalsRowDxfId="34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44A685B-3BB3-4A85-9227-7AABC7C82729}" name="Table113" displayName="Table113" ref="A2:L24" totalsRowCount="1" headerRowDxfId="343" dataDxfId="341" totalsRowDxfId="339" headerRowBorderDxfId="342" tableBorderDxfId="340">
  <autoFilter ref="A2:L23" xr:uid="{E44A685B-3BB3-4A85-9227-7AABC7C82729}"/>
  <sortState xmlns:xlrd2="http://schemas.microsoft.com/office/spreadsheetml/2017/richdata2" ref="A3:L23">
    <sortCondition ref="B2:B23"/>
  </sortState>
  <tableColumns count="12">
    <tableColumn id="1" xr3:uid="{A1312E1E-1CC8-4F40-A8D1-52C6CA4BD9E0}" name="Nimetus" dataDxfId="338" totalsRowDxfId="337"/>
    <tableColumn id="2" xr3:uid="{1F79A4AB-FCE1-44DD-8911-27DD0A42B533}" name="Kulugrupp" dataDxfId="336" totalsRowDxfId="335"/>
    <tableColumn id="3" xr3:uid="{15723499-F900-4440-999B-C4ECB18F9D67}" name="Eelarvekonto" dataDxfId="334" totalsRowDxfId="333"/>
    <tableColumn id="4" xr3:uid="{73BB5CB0-35CE-4DC8-94E2-D6E1A8C0AC42}" name="Eelarve liik ja objekt" dataDxfId="332" totalsRowDxfId="331"/>
    <tableColumn id="5" xr3:uid="{C357A523-F7F7-47E3-BB53-5B0153642D7F}" name="Eelarve projekt" dataDxfId="330" totalsRowDxfId="329"/>
    <tableColumn id="6" xr3:uid="{E7591CE9-B261-4141-9896-62E5A293529A}" name="Grant" dataDxfId="328" totalsRowDxfId="327"/>
    <tableColumn id="7" xr3:uid="{99C40E46-4688-406E-BF86-EBC1C79AC307}" name="Tegevusala" dataDxfId="326" totalsRowDxfId="325"/>
    <tableColumn id="8" xr3:uid="{332B703E-7A76-40BB-B22A-B1C4163B1C71}" name="Kuluüksus" dataDxfId="324" totalsRowDxfId="323"/>
    <tableColumn id="11" xr3:uid="{5FB617E2-3F1D-42ED-B339-A233A13F8509}" name="Eelarve 23.09.2025 seisuga " totalsRowFunction="sum" dataDxfId="322" totalsRowDxfId="321"/>
    <tableColumn id="13" xr3:uid="{D3CC62EC-03F0-47F1-BB30-1D0CB05597B5}" name="Muudatused" totalsRowFunction="sum" dataDxfId="320" totalsRowDxfId="319">
      <calculatedColumnFormula>-247535-104465</calculatedColumnFormula>
    </tableColumn>
    <tableColumn id="14" xr3:uid="{4F55308A-9237-4323-B97C-EE807C4A349F}" name="Eelarve" totalsRowFunction="sum" dataDxfId="318" totalsRowDxfId="317">
      <calculatedColumnFormula>Table113[[#This Row],[Eelarve 23.09.2025 seisuga ]]+Table113[[#This Row],[Muudatused]]</calculatedColumnFormula>
    </tableColumn>
    <tableColumn id="12" xr3:uid="{87D71908-0074-4600-AE01-029022CE6FF6}" name="Selgitused" dataDxfId="316" totalsRowDxfId="31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92A5FC7-5F42-4CE0-8DA8-192FBFEC52A6}" name="Table118" displayName="Table118" ref="A2:L12" totalsRowCount="1" headerRowDxfId="314" dataDxfId="312" totalsRowDxfId="310" headerRowBorderDxfId="313" tableBorderDxfId="311">
  <autoFilter ref="A2:L11" xr:uid="{592A5FC7-5F42-4CE0-8DA8-192FBFEC52A6}"/>
  <tableColumns count="12">
    <tableColumn id="1" xr3:uid="{B4A6EE53-262A-4CDC-8B99-CF67F9EEF780}" name="Nimetus" dataDxfId="309" totalsRowDxfId="308"/>
    <tableColumn id="2" xr3:uid="{DEDF27D2-24CA-45CE-84E7-EC4D7C8099F5}" name="Kulugrupp" dataDxfId="307" totalsRowDxfId="306"/>
    <tableColumn id="3" xr3:uid="{B0EFD4FE-0EB6-4A2F-BA04-A8A0728DB208}" name="Eelarvekonto" dataDxfId="305" totalsRowDxfId="304"/>
    <tableColumn id="4" xr3:uid="{7A92A871-0575-4B4E-A8A5-F4406910AD2E}" name="Eelarve liik ja objekt" dataDxfId="303" totalsRowDxfId="302"/>
    <tableColumn id="5" xr3:uid="{E59D1EDC-9218-4E8C-8536-71D8688A701C}" name="Eelarve projekt" dataDxfId="301" totalsRowDxfId="300"/>
    <tableColumn id="6" xr3:uid="{3D20E678-25D3-42A2-B721-02829A09C3D4}" name="Grant" dataDxfId="299" totalsRowDxfId="298"/>
    <tableColumn id="7" xr3:uid="{4B4D6346-8F2B-4154-BF51-C7ED1DE44504}" name="Tegevusala" dataDxfId="297" totalsRowDxfId="296"/>
    <tableColumn id="8" xr3:uid="{5D99979D-FDD9-41D2-B348-D9201C74A462}" name="Kuluüksus" dataDxfId="295" totalsRowDxfId="294"/>
    <tableColumn id="11" xr3:uid="{C9619DC6-9572-408D-903A-91B314137116}" name="Eelarve 23.09.2025 seisuga " totalsRowFunction="sum" dataDxfId="293" totalsRowDxfId="292"/>
    <tableColumn id="13" xr3:uid="{960E3E3F-BC90-443E-9D43-2E52B89FC048}" name="Muudatused" totalsRowFunction="sum" dataDxfId="291" totalsRowDxfId="290"/>
    <tableColumn id="14" xr3:uid="{9B3CC506-D682-429A-847F-7E8E2E74F073}" name="Eelarve" totalsRowFunction="sum" dataDxfId="289" totalsRowDxfId="288">
      <calculatedColumnFormula>Table118[[#This Row],[Eelarve 23.09.2025 seisuga ]]+Table118[[#This Row],[Muudatused]]</calculatedColumnFormula>
    </tableColumn>
    <tableColumn id="12" xr3:uid="{4BE0AD8E-608E-4D49-810A-8B145B9B07B0}" name="Selgitused" dataDxfId="287" totalsRowDxfId="28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696EE34-13F2-4F16-86A7-D4C06C8D0394}" name="Table119" displayName="Table119" ref="A2:L13" totalsRowCount="1" headerRowDxfId="285" dataDxfId="283" totalsRowDxfId="281" headerRowBorderDxfId="284" tableBorderDxfId="282">
  <autoFilter ref="A2:L12" xr:uid="{8696EE34-13F2-4F16-86A7-D4C06C8D0394}"/>
  <sortState xmlns:xlrd2="http://schemas.microsoft.com/office/spreadsheetml/2017/richdata2" ref="A3:L12">
    <sortCondition ref="B2:B12"/>
  </sortState>
  <tableColumns count="12">
    <tableColumn id="1" xr3:uid="{96F66E05-CED2-49CB-A99D-AD1C75E90C99}" name="Nimetus" dataDxfId="280" totalsRowDxfId="279"/>
    <tableColumn id="2" xr3:uid="{73C24D8F-00AE-4E63-8D91-70E37C3658FC}" name="Kulugrupp" dataDxfId="278" totalsRowDxfId="277"/>
    <tableColumn id="3" xr3:uid="{A0014DD5-6CBC-4928-9C91-FA55DB41B4AA}" name="Eelarvekonto" dataDxfId="276" totalsRowDxfId="275"/>
    <tableColumn id="4" xr3:uid="{A4F82078-D333-41C6-9D78-B6FD74A7FB19}" name="Eelarve liik ja objekt" dataDxfId="274" totalsRowDxfId="273"/>
    <tableColumn id="5" xr3:uid="{5A68FDC2-4EB0-4420-BDF5-932A1A7FE1DF}" name="Eelarve projekt" dataDxfId="272" totalsRowDxfId="271"/>
    <tableColumn id="6" xr3:uid="{37F7B7AE-1FB1-402E-BB8C-F5FFF36B18FB}" name="Grant" dataDxfId="270" totalsRowDxfId="269"/>
    <tableColumn id="7" xr3:uid="{D8678850-364A-442C-BBF0-5BFAFBC58842}" name="Tegevusala" dataDxfId="268" totalsRowDxfId="267"/>
    <tableColumn id="8" xr3:uid="{598F8044-5B90-44B4-A2E3-49CFF7BA691F}" name="Kuluüksus" dataDxfId="266" totalsRowDxfId="265"/>
    <tableColumn id="11" xr3:uid="{529CC0E6-0398-42E9-A363-5099C268DA59}" name="Eelarve 23.09.2025 seisuga " totalsRowFunction="sum" dataDxfId="264" totalsRowDxfId="263"/>
    <tableColumn id="13" xr3:uid="{27E94477-17A4-465B-904A-01822B465F76}" name="Muudatused" totalsRowFunction="sum" dataDxfId="262" totalsRowDxfId="261"/>
    <tableColumn id="14" xr3:uid="{35811927-CB47-407A-9F75-219816AEC34E}" name="Eelarve" totalsRowFunction="sum" dataDxfId="260" totalsRowDxfId="259">
      <calculatedColumnFormula>Table119[[#This Row],[Eelarve 23.09.2025 seisuga ]]+Table119[[#This Row],[Muudatused]]</calculatedColumnFormula>
    </tableColumn>
    <tableColumn id="12" xr3:uid="{9FBA2850-2618-4FC6-ADAF-E57BE7ED7379}" name="Selgitused" dataDxfId="258" totalsRowDxfId="25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4BF865D-3437-42E3-AA26-EAE3DBCB71F6}" name="Table120" displayName="Table120" ref="A2:L6" totalsRowCount="1" headerRowDxfId="256" dataDxfId="254" totalsRowDxfId="252" headerRowBorderDxfId="255" tableBorderDxfId="253">
  <autoFilter ref="A2:L5" xr:uid="{A4BF865D-3437-42E3-AA26-EAE3DBCB71F6}"/>
  <tableColumns count="12">
    <tableColumn id="1" xr3:uid="{6F377219-FE9D-4D6A-8B48-3102A2973C18}" name="Nimetus" dataDxfId="251" totalsRowDxfId="250"/>
    <tableColumn id="2" xr3:uid="{00598757-98FE-46B5-9772-ACE14FF383AA}" name="Kulugrupp" dataDxfId="249" totalsRowDxfId="248"/>
    <tableColumn id="3" xr3:uid="{6FB42D6D-19E6-4695-BBEA-EA645855119F}" name="Eelarvekonto" dataDxfId="247" totalsRowDxfId="246"/>
    <tableColumn id="4" xr3:uid="{6D95555E-0CF3-4E34-B0FB-B73E222833AA}" name="Eelarve liik ja objekt" dataDxfId="245" totalsRowDxfId="244"/>
    <tableColumn id="5" xr3:uid="{6A3AFB46-8336-4A36-ACD7-4F832D93C24A}" name="Eelarve projekt" dataDxfId="243" totalsRowDxfId="242"/>
    <tableColumn id="6" xr3:uid="{EB985427-BF91-4FBB-8C66-95FD83CF3DE9}" name="Grant" dataDxfId="241" totalsRowDxfId="240"/>
    <tableColumn id="7" xr3:uid="{4E231835-ADC2-4B40-A45E-FA4BC40D22FF}" name="Tegevusala" dataDxfId="239" totalsRowDxfId="238"/>
    <tableColumn id="8" xr3:uid="{DE84BE28-F574-42E9-AAF8-488CBE636324}" name="Kuluüksus" dataDxfId="237" totalsRowDxfId="236"/>
    <tableColumn id="11" xr3:uid="{D1FFE6FC-48CB-455C-9993-847830AAFAB5}" name="Eelarve 23.09.2025 seisuga " totalsRowFunction="sum" dataDxfId="235" totalsRowDxfId="234"/>
    <tableColumn id="13" xr3:uid="{3FADB4DB-3418-461D-B97A-D5044A87B25A}" name="Muudatused" totalsRowFunction="sum" dataDxfId="233" totalsRowDxfId="232"/>
    <tableColumn id="14" xr3:uid="{83B846CF-6A6C-4B46-83AF-56E25E966DF3}" name="Eelarve" totalsRowFunction="sum" dataDxfId="231" totalsRowDxfId="230">
      <calculatedColumnFormula>Table120[[#This Row],[Eelarve 23.09.2025 seisuga ]]+Table120[[#This Row],[Muudatused]]</calculatedColumnFormula>
    </tableColumn>
    <tableColumn id="12" xr3:uid="{523842A2-B589-4D39-B4A5-F9533E42AFDB}" name="Selgitused" dataDxfId="229" totalsRowDxfId="22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D7D1754-B0FD-4D48-917F-A9CF88973BD2}" name="Table122" displayName="Table122" ref="A2:L6" totalsRowCount="1" headerRowDxfId="227" dataDxfId="225" totalsRowDxfId="223" headerRowBorderDxfId="226" tableBorderDxfId="224">
  <autoFilter ref="A2:L5" xr:uid="{AD7D1754-B0FD-4D48-917F-A9CF88973BD2}"/>
  <tableColumns count="12">
    <tableColumn id="1" xr3:uid="{585F7D2C-8A1A-4FE0-8CF6-B6C5B0EC107D}" name="Nimetus" dataDxfId="222" totalsRowDxfId="221"/>
    <tableColumn id="2" xr3:uid="{2C9B5A72-E0CC-41BD-BAE2-238555B7400C}" name="Kulugrupp" dataDxfId="220" totalsRowDxfId="219"/>
    <tableColumn id="3" xr3:uid="{EBECE81D-6B24-4768-B8F4-097CDF6C6E68}" name="Eelarvekonto" dataDxfId="218" totalsRowDxfId="217"/>
    <tableColumn id="4" xr3:uid="{D981901F-4CEE-4BA9-964C-F16FECF6C044}" name="Eelarve liik ja objekt" dataDxfId="216" totalsRowDxfId="215"/>
    <tableColumn id="5" xr3:uid="{01865157-73EC-4EF3-BD05-FA22E8229D39}" name="Eelarve projekt" dataDxfId="214" totalsRowDxfId="213"/>
    <tableColumn id="6" xr3:uid="{5F1AE831-7F7C-4DF5-8902-4F300683BDEA}" name="Grant" dataDxfId="212" totalsRowDxfId="211"/>
    <tableColumn id="7" xr3:uid="{0EC1DDE0-3678-443B-8014-2C3A0100B813}" name="Tegevusala" dataDxfId="210" totalsRowDxfId="209"/>
    <tableColumn id="8" xr3:uid="{60DEF550-0C5B-480F-A1BE-6802AAEDBB09}" name="Kuluüksus" dataDxfId="208" totalsRowDxfId="207"/>
    <tableColumn id="11" xr3:uid="{C139D14B-280F-4060-9091-2AE0EA9C3D0F}" name="Eelarve 23.09.2025 seisuga " totalsRowFunction="sum" dataDxfId="206" totalsRowDxfId="205"/>
    <tableColumn id="13" xr3:uid="{4065531E-5017-4EC8-89E8-B4DD779C820E}" name="Muudatused" totalsRowFunction="sum" dataDxfId="204" totalsRowDxfId="203"/>
    <tableColumn id="14" xr3:uid="{F065F7E4-0FAB-403A-9999-399D1485ADE1}" name="Eelarve" totalsRowFunction="sum" dataDxfId="202" totalsRowDxfId="201">
      <calculatedColumnFormula>Table122[[#This Row],[Eelarve 23.09.2025 seisuga ]]+Table122[[#This Row],[Muudatused]]</calculatedColumnFormula>
    </tableColumn>
    <tableColumn id="12" xr3:uid="{729B2333-3AFD-4D5C-A75E-E0D6D599CA65}" name="Selgitused" dataDxfId="200" totalsRowDxfId="199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1869602-E23F-42B3-9A2C-5A7DDB23EFAB}" name="Table123" displayName="Table123" ref="A2:L7" totalsRowCount="1" headerRowDxfId="198" dataDxfId="196" totalsRowDxfId="194" headerRowBorderDxfId="197" tableBorderDxfId="195">
  <autoFilter ref="A2:L6" xr:uid="{A1869602-E23F-42B3-9A2C-5A7DDB23EFAB}"/>
  <tableColumns count="12">
    <tableColumn id="1" xr3:uid="{458C9AA4-82AE-493B-8526-F442A983222E}" name="Nimetus" dataDxfId="193" totalsRowDxfId="192"/>
    <tableColumn id="2" xr3:uid="{A35FA790-E110-4050-80D5-BD2BDB1E9D7C}" name="Kulugrupp" dataDxfId="191" totalsRowDxfId="190"/>
    <tableColumn id="3" xr3:uid="{998C4E2C-C769-46EC-8DA8-08A2DF5EE7CC}" name="Eelarvekonto" dataDxfId="189" totalsRowDxfId="188"/>
    <tableColumn id="4" xr3:uid="{C1BC2662-27BF-44C3-9E8A-EC825CD0A331}" name="Eelarve liik ja objekt" dataDxfId="187" totalsRowDxfId="186"/>
    <tableColumn id="5" xr3:uid="{83D7DDFE-276D-4B6B-BB72-5F0AEE238E0E}" name="Eelarve projekt" dataDxfId="185" totalsRowDxfId="184"/>
    <tableColumn id="6" xr3:uid="{B3A2B32A-6A2F-41AA-8428-CB55A9475E87}" name="Grant" dataDxfId="183" totalsRowDxfId="182"/>
    <tableColumn id="7" xr3:uid="{D71EC981-FAF6-453B-9A7C-F81644612420}" name="Tegevusala" dataDxfId="181" totalsRowDxfId="180"/>
    <tableColumn id="8" xr3:uid="{8E412388-AF6C-4A23-AF54-2822C5D6DF88}" name="Kuluüksus" dataDxfId="179" totalsRowDxfId="178"/>
    <tableColumn id="11" xr3:uid="{50AA3083-B7CD-473F-AAD5-10137E9C501B}" name="Eelarve 23.09.2025 seisuga " totalsRowFunction="sum" dataDxfId="177" totalsRowDxfId="176"/>
    <tableColumn id="13" xr3:uid="{F8760E8A-92BC-4C48-9F11-E7C112D544D7}" name="Muudatused" totalsRowFunction="sum" dataDxfId="175" totalsRowDxfId="174"/>
    <tableColumn id="14" xr3:uid="{75F70DD5-CBE7-4684-9208-DAC374B98059}" name="Eelarve" totalsRowFunction="sum" dataDxfId="173" totalsRowDxfId="172">
      <calculatedColumnFormula>Table123[[#This Row],[Eelarve 23.09.2025 seisuga ]]+Table123[[#This Row],[Muudatused]]</calculatedColumnFormula>
    </tableColumn>
    <tableColumn id="12" xr3:uid="{8203A7C6-F380-4D31-A48B-9F2045AFF0B4}" name="Selgitused" dataDxfId="171" totalsRowDxfId="17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BF7112A-ADC3-47E4-96B7-4EC62B27B898}" name="Table124" displayName="Table124" ref="A2:L12" totalsRowCount="1" headerRowDxfId="169" dataDxfId="167" totalsRowDxfId="165" headerRowBorderDxfId="168" tableBorderDxfId="166">
  <autoFilter ref="A2:L11" xr:uid="{0BF7112A-ADC3-47E4-96B7-4EC62B27B898}"/>
  <sortState xmlns:xlrd2="http://schemas.microsoft.com/office/spreadsheetml/2017/richdata2" ref="A3:L11">
    <sortCondition ref="B2:B11"/>
  </sortState>
  <tableColumns count="12">
    <tableColumn id="1" xr3:uid="{30F99524-70EE-4B7A-87F7-1E6B3D48E71E}" name="Nimetus" dataDxfId="164" totalsRowDxfId="163"/>
    <tableColumn id="2" xr3:uid="{272F37AD-C082-4DAB-8249-25E166452892}" name="Kulugrupp" dataDxfId="162" totalsRowDxfId="161"/>
    <tableColumn id="3" xr3:uid="{05844AED-1C10-4180-8ECE-2252BC4192FC}" name="Eelarvekonto" dataDxfId="160" totalsRowDxfId="159"/>
    <tableColumn id="4" xr3:uid="{9FFFD572-95E3-457A-8EFF-907EABD22D5B}" name="Eelarve liik ja objekt" dataDxfId="158" totalsRowDxfId="157"/>
    <tableColumn id="5" xr3:uid="{1480C9E9-ADDE-4282-B75A-030590BA5B6A}" name="Eelarve projekt" dataDxfId="156" totalsRowDxfId="155"/>
    <tableColumn id="6" xr3:uid="{0CE7F9AB-52EB-4E0E-80AA-28DCB16D02A2}" name="Grant" dataDxfId="154" totalsRowDxfId="153"/>
    <tableColumn id="7" xr3:uid="{03EA8343-F6E8-415E-A46D-85EE71A3ECAB}" name="Tegevusala" dataDxfId="152" totalsRowDxfId="151"/>
    <tableColumn id="8" xr3:uid="{07BEEB8F-9B78-4284-835B-33897362CE66}" name="Kuluüksus" dataDxfId="150" totalsRowDxfId="149"/>
    <tableColumn id="11" xr3:uid="{C564E93C-66DD-409C-A4D8-5640B75537D9}" name="Eelarve 23.09.2025 seisuga " totalsRowFunction="sum" dataDxfId="148" totalsRowDxfId="147"/>
    <tableColumn id="13" xr3:uid="{FE1DC755-A3CE-4166-AE6B-AE4EC07A8754}" name="Muudatused" totalsRowFunction="sum" dataDxfId="146" totalsRowDxfId="145"/>
    <tableColumn id="14" xr3:uid="{2DD9EF68-D273-4234-99BC-56ABAA766446}" name="Eelarve" totalsRowFunction="sum" dataDxfId="144" totalsRowDxfId="143">
      <calculatedColumnFormula>Table124[[#This Row],[Eelarve 23.09.2025 seisuga ]]+Table124[[#This Row],[Muudatused]]</calculatedColumnFormula>
    </tableColumn>
    <tableColumn id="12" xr3:uid="{C4E4FEF8-BA2A-4DFB-BB50-14598EAA8888}" name="Selgitused" dataDxfId="142" totalsRowDxfId="14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5C8AB75-4AEC-4512-BDF2-F3392F3AF733}" name="Table125" displayName="Table125" ref="A2:L27" totalsRowCount="1" headerRowDxfId="140" dataDxfId="139" totalsRowDxfId="138">
  <autoFilter ref="A2:L26" xr:uid="{75C8AB75-4AEC-4512-BDF2-F3392F3AF733}"/>
  <sortState xmlns:xlrd2="http://schemas.microsoft.com/office/spreadsheetml/2017/richdata2" ref="A3:L26">
    <sortCondition ref="B2:B26"/>
  </sortState>
  <tableColumns count="12">
    <tableColumn id="1" xr3:uid="{6187C6FA-9AB7-45A2-AC19-F47E04554B95}" name="Nimetus" dataDxfId="137" totalsRowDxfId="136"/>
    <tableColumn id="2" xr3:uid="{76377486-35BA-4094-881A-BB59535656C0}" name="Kulugrupp" dataDxfId="135" totalsRowDxfId="134"/>
    <tableColumn id="3" xr3:uid="{C1D4D04B-B83B-479A-9B4B-B12BA59F2400}" name="Eelarvekonto" dataDxfId="133" totalsRowDxfId="132"/>
    <tableColumn id="4" xr3:uid="{FD13FD6E-9C46-4571-94EB-048EC5FC9D1D}" name="Eelarve liik ja objekt" dataDxfId="131" totalsRowDxfId="130"/>
    <tableColumn id="5" xr3:uid="{2EE148DC-18FC-4922-84ED-70F75B10AF4E}" name="Eelarve projekt" dataDxfId="129" totalsRowDxfId="128"/>
    <tableColumn id="6" xr3:uid="{8AAC839C-E8AD-466A-AB72-21BC57B16D13}" name="Grant" dataDxfId="127" totalsRowDxfId="126"/>
    <tableColumn id="7" xr3:uid="{509DE078-4C3F-4061-91C6-669009E1E82C}" name="Tegevusala" dataDxfId="125" totalsRowDxfId="124"/>
    <tableColumn id="8" xr3:uid="{203C1BD5-0022-459E-9E55-8B035FFD95BF}" name="Kuluüksus" dataDxfId="123" totalsRowDxfId="122"/>
    <tableColumn id="11" xr3:uid="{444BEB32-42BF-4071-A846-8BC8AAE53FA7}" name="Eelarve 23.09.2025 seisuga " totalsRowFunction="sum" dataDxfId="121" totalsRowDxfId="120"/>
    <tableColumn id="13" xr3:uid="{3D3FA51C-D6BA-40ED-8CED-15072FBB622E}" name="Muudatused" totalsRowFunction="sum" dataDxfId="119" totalsRowDxfId="118"/>
    <tableColumn id="14" xr3:uid="{BD7489EF-B91A-4392-8BBD-287DE14DF467}" name="Eelarve" totalsRowFunction="sum" dataDxfId="117" totalsRowDxfId="116">
      <calculatedColumnFormula>Table125[[#This Row],[Eelarve 23.09.2025 seisuga ]]+Table125[[#This Row],[Muudatused]]</calculatedColumnFormula>
    </tableColumn>
    <tableColumn id="12" xr3:uid="{F4428BD8-24E3-430E-BD07-C67BCCEB2546}" name="Selgitused" dataDxfId="115" totalsRowDxfId="114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21C7512-4452-497B-9F71-3051D7AF6DFF}" name="Table128" displayName="Table128" ref="A2:L8" totalsRowCount="1" headerRowDxfId="113" dataDxfId="111" totalsRowDxfId="109" headerRowBorderDxfId="112" tableBorderDxfId="110">
  <autoFilter ref="A2:L7" xr:uid="{721C7512-4452-497B-9F71-3051D7AF6DFF}"/>
  <tableColumns count="12">
    <tableColumn id="1" xr3:uid="{FBE3335F-6CA8-46AF-AF9F-8842E3868D66}" name="Nimetus" dataDxfId="108" totalsRowDxfId="107"/>
    <tableColumn id="2" xr3:uid="{35866DC6-9A0B-4333-98C3-37902D4FB82F}" name="Kulugrupp" dataDxfId="106" totalsRowDxfId="105"/>
    <tableColumn id="3" xr3:uid="{493313C1-AFFF-4CCA-8508-5CA9C8EA0373}" name="Eelarvekonto" dataDxfId="104" totalsRowDxfId="103"/>
    <tableColumn id="4" xr3:uid="{96C496AA-4628-4E31-9605-BAFD3824E2A5}" name="Eelarve liik ja objekt" dataDxfId="102" totalsRowDxfId="101"/>
    <tableColumn id="5" xr3:uid="{4AF90F0D-2EBF-4231-B227-A55BCF7F9410}" name="Eelarve projekt" dataDxfId="100" totalsRowDxfId="99"/>
    <tableColumn id="6" xr3:uid="{BEA567A8-9091-44B5-B266-C0E408E59260}" name="Grant" dataDxfId="98" totalsRowDxfId="97"/>
    <tableColumn id="7" xr3:uid="{58EC8158-794C-4DE4-93AD-E29AD5AE6159}" name="Tegevusala" dataDxfId="96" totalsRowDxfId="95"/>
    <tableColumn id="8" xr3:uid="{38DEB1E3-D334-4FC3-AD6F-E9ABD13C4F4A}" name="Kuluüksus" dataDxfId="94" totalsRowDxfId="93"/>
    <tableColumn id="11" xr3:uid="{75EF1AA6-0A5E-415D-B86C-7B6EFE6CA33C}" name="Eelarve 23.09.2025 seisuga " totalsRowFunction="sum" dataDxfId="92" totalsRowDxfId="91"/>
    <tableColumn id="13" xr3:uid="{B69F6B1B-E33B-4F73-82AA-4A38F75194A5}" name="Muudatused" totalsRowFunction="sum" dataDxfId="90" totalsRowDxfId="89"/>
    <tableColumn id="14" xr3:uid="{204BC8C1-319F-4A75-8469-C35ACA093702}" name="Eelarve" totalsRowFunction="sum" dataDxfId="88" totalsRowDxfId="87">
      <calculatedColumnFormula>Table128[[#This Row],[Eelarve 23.09.2025 seisuga ]]+Table128[[#This Row],[Muudatused]]</calculatedColumnFormula>
    </tableColumn>
    <tableColumn id="12" xr3:uid="{6CC91853-8DEB-42FC-9A0C-A76A029313AA}" name="Selgitused" dataDxfId="86" totalsRow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EFFF101-D1AE-4371-A03B-59E2DDA13B1E}" name="Table18" displayName="Table18" ref="A2:L16" totalsRowCount="1" headerRowDxfId="588" dataDxfId="587" totalsRowDxfId="586">
  <autoFilter ref="A2:L15" xr:uid="{6EFFF101-D1AE-4371-A03B-59E2DDA13B1E}"/>
  <sortState xmlns:xlrd2="http://schemas.microsoft.com/office/spreadsheetml/2017/richdata2" ref="A3:L15">
    <sortCondition ref="F2:F15"/>
  </sortState>
  <tableColumns count="12">
    <tableColumn id="1" xr3:uid="{74FF4270-E7D5-4D92-9063-F480105D5914}" name="Nimetus" dataDxfId="585" totalsRowDxfId="584"/>
    <tableColumn id="2" xr3:uid="{CA49A360-EB92-461E-9EAD-E23CD0F0593D}" name="Kulugrupp" dataDxfId="583" totalsRowDxfId="582"/>
    <tableColumn id="3" xr3:uid="{7D18C167-2E69-485A-86D9-2A5ED2FEA20D}" name="Eelarvekonto" dataDxfId="581" totalsRowDxfId="580"/>
    <tableColumn id="4" xr3:uid="{1813B655-4AEC-4A19-A6D3-1C9ADFA652A5}" name="Eelarve liik ja objekt" dataDxfId="579" totalsRowDxfId="578"/>
    <tableColumn id="5" xr3:uid="{85FCDA13-D3FF-4487-ABC2-05B9F59CA1DE}" name="Eelarve projekt" dataDxfId="577" totalsRowDxfId="576"/>
    <tableColumn id="6" xr3:uid="{3AF2CC22-E0A7-485E-9327-361DB20CB350}" name="Grant" dataDxfId="575" totalsRowDxfId="574"/>
    <tableColumn id="7" xr3:uid="{6EA494E8-F888-4434-8518-3B9C746BE583}" name="Tegevusala" dataDxfId="573" totalsRowDxfId="572"/>
    <tableColumn id="8" xr3:uid="{8C332CC7-669B-4F5C-8BC9-D6EB2491C602}" name="Kuluüksus" dataDxfId="571" totalsRowDxfId="570"/>
    <tableColumn id="11" xr3:uid="{35280A68-6362-4497-8C5C-62B40A0EE1E5}" name="Eelarve 23.09.2025 seisuga " totalsRowFunction="sum" dataDxfId="569" totalsRowDxfId="568"/>
    <tableColumn id="13" xr3:uid="{5605DAD8-A142-4FAD-90ED-7A4E5DFBB3F9}" name="Muudatused" totalsRowFunction="sum" dataDxfId="567" totalsRowDxfId="566"/>
    <tableColumn id="14" xr3:uid="{7A93127C-721D-487D-8C52-7D3BF0FD1DCF}" name="Eelarve" totalsRowFunction="sum" dataDxfId="565" totalsRowDxfId="564">
      <calculatedColumnFormula>Table18[[#This Row],[Eelarve 23.09.2025 seisuga ]]+Table18[[#This Row],[Muudatused]]</calculatedColumnFormula>
    </tableColumn>
    <tableColumn id="12" xr3:uid="{3646BAD3-199D-4F22-A1ED-8CA0D75B7439}" name="Selgitused" dataDxfId="563" totalsRowDxfId="56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3131F3C-50B6-474E-A05D-E5E22ACE59BC}" name="Table130" displayName="Table130" ref="A2:L12" totalsRowCount="1" headerRowDxfId="84" dataDxfId="83" totalsRowDxfId="82">
  <autoFilter ref="A2:L11" xr:uid="{B3131F3C-50B6-474E-A05D-E5E22ACE59BC}"/>
  <sortState xmlns:xlrd2="http://schemas.microsoft.com/office/spreadsheetml/2017/richdata2" ref="A3:L11">
    <sortCondition ref="B2:B11"/>
  </sortState>
  <tableColumns count="12">
    <tableColumn id="1" xr3:uid="{B5EDFC1D-A331-4F62-952D-61FE4CF28CC8}" name="Nimetus" dataDxfId="81" totalsRowDxfId="80"/>
    <tableColumn id="2" xr3:uid="{7D681ABD-0B21-486C-87B7-B446014D03B3}" name="Kulugrupp" dataDxfId="79" totalsRowDxfId="78"/>
    <tableColumn id="3" xr3:uid="{97CDC473-2369-4C5A-B18E-FCDA98F4408E}" name="Eelarvekonto" dataDxfId="77" totalsRowDxfId="76"/>
    <tableColumn id="4" xr3:uid="{BA35720D-CCDD-4805-9DA4-CD6E4B4B5536}" name="Eelarve liik ja objekt" dataDxfId="75" totalsRowDxfId="74"/>
    <tableColumn id="5" xr3:uid="{6F5AD6F1-D26F-421A-9F00-E8D0C6A9DEC9}" name="Eelarve projekt" dataDxfId="73" totalsRowDxfId="72"/>
    <tableColumn id="6" xr3:uid="{DE7DF4BD-2021-408C-84B9-C88B80FB1F73}" name="Grant" dataDxfId="71" totalsRowDxfId="70"/>
    <tableColumn id="7" xr3:uid="{8D57D5C6-A72B-4C68-9F12-0FECE00437F1}" name="Tegevusala" dataDxfId="69" totalsRowDxfId="68"/>
    <tableColumn id="8" xr3:uid="{87BA932D-4189-4203-88B0-340EA4536E61}" name="Kuluüksus" dataDxfId="67" totalsRowDxfId="66"/>
    <tableColumn id="11" xr3:uid="{20291735-C80E-4172-8AE2-25C9A45351D7}" name="Eelarve 23.09.2025 seisuga " totalsRowFunction="sum" dataDxfId="65" totalsRowDxfId="64"/>
    <tableColumn id="14" xr3:uid="{EC4DA526-51B9-47BE-94E2-5A41D7E7A42C}" name="Muudatused" totalsRowFunction="sum" dataDxfId="63" totalsRowDxfId="62"/>
    <tableColumn id="13" xr3:uid="{57051FA8-C3E3-48BD-8202-FBF5FE4C6B80}" name="Eelarve" totalsRowFunction="sum" dataDxfId="61" totalsRowDxfId="60">
      <calculatedColumnFormula>Table130[[#This Row],[Eelarve 23.09.2025 seisuga ]]+Table130[[#This Row],[Muudatused]]</calculatedColumnFormula>
    </tableColumn>
    <tableColumn id="12" xr3:uid="{0FD0974D-DFDF-4C86-BBD2-01EF5F778716}" name="Selgitused" dataDxfId="59" totalsRowDxfId="5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7BF1540-67C4-4AA3-A973-D31C7FC4F897}" name="Table127" displayName="Table127" ref="A2:L16" totalsRowCount="1" headerRowDxfId="57" dataDxfId="55" totalsRowDxfId="53" headerRowBorderDxfId="56" tableBorderDxfId="54">
  <autoFilter ref="A2:L15" xr:uid="{B7BF1540-67C4-4AA3-A973-D31C7FC4F897}"/>
  <tableColumns count="12">
    <tableColumn id="1" xr3:uid="{F706E265-657F-4617-A6BB-6EFA76ECAE83}" name="Nimetus" dataDxfId="52" totalsRowDxfId="51"/>
    <tableColumn id="2" xr3:uid="{E196FCF0-6EA6-44B0-8AB8-2FA010DAF5C5}" name="Kulugrupp" dataDxfId="50" totalsRowDxfId="49"/>
    <tableColumn id="3" xr3:uid="{EA84C8AA-2655-42FC-BC79-69020FD65A29}" name="Eelarvekonto" dataDxfId="48" totalsRowDxfId="47"/>
    <tableColumn id="4" xr3:uid="{661DCAAF-4A97-4816-B41F-1DABD555A5B3}" name="Eelarve liik ja objekt" dataDxfId="46" totalsRowDxfId="45"/>
    <tableColumn id="5" xr3:uid="{EB4182A0-54AF-44C5-8BF3-53A87E876A54}" name="Eelarve projekt" dataDxfId="44" totalsRowDxfId="43"/>
    <tableColumn id="6" xr3:uid="{09F1A004-F3FF-435E-933D-B0CFABDD6455}" name="Grant" dataDxfId="42" totalsRowDxfId="41"/>
    <tableColumn id="7" xr3:uid="{EF86E3A7-139B-4FC8-9D74-05FFB3F72FF2}" name="Tegevusala" dataDxfId="40" totalsRowDxfId="39"/>
    <tableColumn id="8" xr3:uid="{0A234925-A21A-425C-98AB-28F9F2916516}" name="Kuluüksus" dataDxfId="38" totalsRowDxfId="37"/>
    <tableColumn id="11" xr3:uid="{545CF40F-4F0D-4397-BC8E-B22702394853}" name="Eelarve 23.09.2025 seisuga " totalsRowFunction="sum" dataDxfId="36" totalsRowDxfId="35"/>
    <tableColumn id="13" xr3:uid="{95D2F751-2C4C-43E0-BA63-A63D6DFB56C3}" name="Muudatused" totalsRowFunction="sum" dataDxfId="34" totalsRowDxfId="33"/>
    <tableColumn id="14" xr3:uid="{D09FE4E4-203E-46EA-BE0C-591B3E3AC809}" name="Eelarve" totalsRowFunction="sum" dataDxfId="32" totalsRowDxfId="31">
      <calculatedColumnFormula>Table127[[#This Row],[Eelarve 23.09.2025 seisuga ]]+Table127[[#This Row],[Muudatused]]</calculatedColumnFormula>
    </tableColumn>
    <tableColumn id="12" xr3:uid="{D664C99D-B7BA-45AF-9011-E8BE07705192}" name="Selgitused" dataDxfId="30" totalsRowDxfId="2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943CECF-AC09-4639-A593-961E24383AD7}" name="Table16" displayName="Table16" ref="A2:L9" totalsRowCount="1" headerRowDxfId="28" dataDxfId="26" totalsRowDxfId="24" headerRowBorderDxfId="27" tableBorderDxfId="25">
  <autoFilter ref="A2:L8" xr:uid="{E943CECF-AC09-4639-A593-961E24383AD7}"/>
  <tableColumns count="12">
    <tableColumn id="1" xr3:uid="{8287D429-DA81-4DB2-8AE4-F8E37673E1D3}" name="Nimetus" dataDxfId="23" totalsRowDxfId="22"/>
    <tableColumn id="2" xr3:uid="{640FB6BF-C18D-48E4-A0A3-D0DC84293C80}" name="Kulugrupp" dataDxfId="21" totalsRowDxfId="20"/>
    <tableColumn id="3" xr3:uid="{50FE6825-350E-4733-A192-2AA3B01D57D6}" name="Eelarvekonto" dataDxfId="19" totalsRowDxfId="18"/>
    <tableColumn id="4" xr3:uid="{5BB1ED22-D2F7-49BB-B446-50353EAE9448}" name="Eelarve liik ja objekt" dataDxfId="17" totalsRowDxfId="16"/>
    <tableColumn id="5" xr3:uid="{82C01755-14B1-445B-8FFB-B79F1D6994FF}" name="Eelarve projekt" dataDxfId="15" totalsRowDxfId="14"/>
    <tableColumn id="6" xr3:uid="{6DD9C804-6C01-40C8-AF5C-8C92DDC0CAC7}" name="Grant" dataDxfId="13" totalsRowDxfId="12"/>
    <tableColumn id="7" xr3:uid="{B7334AF4-D6E1-4672-8781-C0A84FF498F9}" name="Tegevusala" dataDxfId="11" totalsRowDxfId="10"/>
    <tableColumn id="8" xr3:uid="{4EB9EB02-2893-4575-B194-4C7082A4E41F}" name="Kuluüksus" dataDxfId="9" totalsRowDxfId="8"/>
    <tableColumn id="11" xr3:uid="{1F7D60D0-757C-4E39-A724-33D3EE2512CD}" name="Eelarve 23.09.2025 seisuga " totalsRowFunction="sum" dataDxfId="7" totalsRowDxfId="6"/>
    <tableColumn id="13" xr3:uid="{5DF25A9C-3E35-4ADD-B896-FB4FB9BDE890}" name="Muudatused" totalsRowFunction="sum" dataDxfId="5" totalsRowDxfId="4"/>
    <tableColumn id="14" xr3:uid="{6AEA7375-FC98-4950-9DBC-0F5A17525C64}" name="Eelarve" totalsRowFunction="sum" dataDxfId="3" totalsRowDxfId="2">
      <calculatedColumnFormula>Table16[[#This Row],[Eelarve 23.09.2025 seisuga ]]+Table16[[#This Row],[Muudatused]]</calculatedColumnFormula>
    </tableColumn>
    <tableColumn id="12" xr3:uid="{E56C020D-A7C3-4F27-9D6F-19731B0129A7}" name="Selgitused" dataDxfId="1" totalsRow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6C27E22-64A7-48EB-9426-511BCF8EDEB2}" name="Table110" displayName="Table110" ref="A2:L13" totalsRowCount="1" headerRowDxfId="561" dataDxfId="560" totalsRowDxfId="559">
  <autoFilter ref="A2:L12" xr:uid="{16C27E22-64A7-48EB-9426-511BCF8EDEB2}"/>
  <sortState xmlns:xlrd2="http://schemas.microsoft.com/office/spreadsheetml/2017/richdata2" ref="A3:L12">
    <sortCondition ref="A2:A12"/>
  </sortState>
  <tableColumns count="12">
    <tableColumn id="1" xr3:uid="{69023522-59F7-482B-AC4E-B02AEA177350}" name="Nimetus" dataDxfId="558" totalsRowDxfId="557"/>
    <tableColumn id="2" xr3:uid="{271AF272-3FFE-43F9-AB36-03CD1AD1C85E}" name="Kulugrupp" dataDxfId="556" totalsRowDxfId="555"/>
    <tableColumn id="3" xr3:uid="{F247D48F-0456-4064-BA4E-EDF442B28E57}" name="Eelarvekonto" dataDxfId="554" totalsRowDxfId="553"/>
    <tableColumn id="4" xr3:uid="{CCF4E58F-6049-4C6C-9F71-5D9F145F6D4E}" name="Eelarve liik ja objekt" dataDxfId="552" totalsRowDxfId="551"/>
    <tableColumn id="5" xr3:uid="{5C8CA288-0A0F-4419-BAA8-F6B57126DE77}" name="Eelarve projekt" dataDxfId="550" totalsRowDxfId="549"/>
    <tableColumn id="6" xr3:uid="{2164188D-21B4-4F01-9692-5806C24305C1}" name="Grant" dataDxfId="548" totalsRowDxfId="547"/>
    <tableColumn id="7" xr3:uid="{AFFD3A16-3E1D-4439-9DD4-FEC8AC00D8AF}" name="Tegevusala" dataDxfId="546" totalsRowDxfId="545"/>
    <tableColumn id="8" xr3:uid="{B6C66495-29D1-4DD8-A6B9-90FA3C223CB8}" name="Kuluüksus" dataDxfId="544" totalsRowDxfId="543"/>
    <tableColumn id="11" xr3:uid="{23EAE9E5-ADE6-44F9-9C40-27BF5691B613}" name="Eelarve 23.09.2025 seisuga " totalsRowFunction="sum" dataDxfId="542" totalsRowDxfId="541"/>
    <tableColumn id="13" xr3:uid="{6D9360E7-C5E9-4A88-97CE-D00B1D8A275D}" name="Muudatused" totalsRowFunction="sum" dataDxfId="540" totalsRowDxfId="539">
      <calculatedColumnFormula>-3438</calculatedColumnFormula>
    </tableColumn>
    <tableColumn id="14" xr3:uid="{C61D3D81-C5B1-4C7B-9832-5545BA0449C1}" name="Eelarve" totalsRowFunction="sum" dataDxfId="538" totalsRowDxfId="537">
      <calculatedColumnFormula>Table110[[#This Row],[Eelarve 23.09.2025 seisuga ]]+Table110[[#This Row],[Muudatused]]</calculatedColumnFormula>
    </tableColumn>
    <tableColumn id="12" xr3:uid="{AFCEFFED-E1FE-4832-9167-D5C6E972C93D}" name="Selgitused" dataDxfId="536" totalsRowDxfId="53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61D58D-F610-4542-9834-DE4266C97028}" name="Table112" displayName="Table112" ref="A2:L7" totalsRowCount="1" headerRowDxfId="534" dataDxfId="533" totalsRowDxfId="532">
  <autoFilter ref="A2:L6" xr:uid="{4961D58D-F610-4542-9834-DE4266C97028}"/>
  <sortState xmlns:xlrd2="http://schemas.microsoft.com/office/spreadsheetml/2017/richdata2" ref="A3:L6">
    <sortCondition ref="B2:B6"/>
  </sortState>
  <tableColumns count="12">
    <tableColumn id="1" xr3:uid="{98990847-D815-4F95-9F67-D8AF77C843C5}" name="Nimetus" dataDxfId="531" totalsRowDxfId="530"/>
    <tableColumn id="2" xr3:uid="{BF6D67A0-6C10-430D-A3C9-0D55F4F5016F}" name="Kulugrupp" dataDxfId="529" totalsRowDxfId="528"/>
    <tableColumn id="3" xr3:uid="{2DEF2B6D-E088-4573-AAD1-0C7666F9A5DC}" name="Eelarvekonto" dataDxfId="527" totalsRowDxfId="526"/>
    <tableColumn id="4" xr3:uid="{373DF14B-7566-4081-B7E2-4F9A65368AA5}" name="Eelarve liik ja objekt" dataDxfId="525" totalsRowDxfId="524"/>
    <tableColumn id="5" xr3:uid="{81882ECD-4899-4C0F-8FF5-F6162DE702D1}" name="Eelarve projekt" dataDxfId="523" totalsRowDxfId="522"/>
    <tableColumn id="6" xr3:uid="{64D8385A-4D93-4E25-B40A-F327BBB3CA3F}" name="Grant" dataDxfId="521" totalsRowDxfId="520"/>
    <tableColumn id="7" xr3:uid="{138F7AEC-187E-44F7-9A5E-A59494468203}" name="Tegevusala" dataDxfId="519" totalsRowDxfId="518"/>
    <tableColumn id="8" xr3:uid="{F87685C0-9609-44C2-A125-33A480267925}" name="Kuluüksus" dataDxfId="517" totalsRowDxfId="516"/>
    <tableColumn id="11" xr3:uid="{6A7F7D52-BD45-4D14-9AED-986E6E8496D1}" name="Eelarve 23.09.2025 seisuga " totalsRowFunction="sum" dataDxfId="515" totalsRowDxfId="514"/>
    <tableColumn id="14" xr3:uid="{CA869496-7304-4C64-AAD9-03D6C7879481}" name="Muudatused" totalsRowFunction="sum" dataDxfId="513" totalsRowDxfId="512"/>
    <tableColumn id="13" xr3:uid="{F2B95725-4CF0-4DEC-9A07-3003F4593CD3}" name="Eelarve" totalsRowFunction="sum" dataDxfId="511" totalsRowDxfId="510">
      <calculatedColumnFormula>Table112[[#This Row],[Eelarve 23.09.2025 seisuga ]]+Table112[[#This Row],[Muudatused]]</calculatedColumnFormula>
    </tableColumn>
    <tableColumn id="12" xr3:uid="{1CCB22C6-D649-4075-9FC7-A0FEC3E21ACD}" name="Selgitused" dataDxfId="509" totalsRowDxfId="50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AE325CA-79D3-41FC-A4EF-16843902F1BF}" name="Table114" displayName="Table114" ref="A2:L15" totalsRowCount="1" headerRowDxfId="507" dataDxfId="506" totalsRowDxfId="505">
  <autoFilter ref="A2:L14" xr:uid="{AAE325CA-79D3-41FC-A4EF-16843902F1BF}"/>
  <sortState xmlns:xlrd2="http://schemas.microsoft.com/office/spreadsheetml/2017/richdata2" ref="A3:L14">
    <sortCondition ref="E2:E14"/>
  </sortState>
  <tableColumns count="12">
    <tableColumn id="1" xr3:uid="{E12FB3B9-C8AF-4F28-907D-DEDA45668A38}" name="Nimetus" dataDxfId="504" totalsRowDxfId="503"/>
    <tableColumn id="2" xr3:uid="{04F00349-0312-45EE-8886-CDDB90C91DBC}" name="Kulugrupp" dataDxfId="502" totalsRowDxfId="501"/>
    <tableColumn id="3" xr3:uid="{076F899A-8DB7-4E86-821D-254FB66AAED2}" name="Eelarvekonto" dataDxfId="500" totalsRowDxfId="499"/>
    <tableColumn id="4" xr3:uid="{018134FD-3BF3-4C38-A233-6BC696DA84BD}" name="Eelarve liik ja objekt" dataDxfId="498" totalsRowDxfId="497"/>
    <tableColumn id="5" xr3:uid="{049F2C59-C368-4597-A486-9642D11A49BE}" name="Eelarve projekt" dataDxfId="496" totalsRowDxfId="495"/>
    <tableColumn id="6" xr3:uid="{ED7B2CD2-2D85-4623-8497-FC61E2533E15}" name="Grant" dataDxfId="494" totalsRowDxfId="493"/>
    <tableColumn id="7" xr3:uid="{2D8B53F2-4E5B-4E44-A518-40B63DFE5481}" name="Tegevusala" dataDxfId="492" totalsRowDxfId="491"/>
    <tableColumn id="8" xr3:uid="{608B9EAE-2BB4-4523-BE51-3ED9DEB9054B}" name="Kuluüksus" dataDxfId="490" totalsRowDxfId="489"/>
    <tableColumn id="11" xr3:uid="{731628DD-D97C-474F-803C-DEE3813B824F}" name="Eelarve 23.09.2025 seisuga " totalsRowFunction="sum" dataDxfId="488" totalsRowDxfId="487"/>
    <tableColumn id="14" xr3:uid="{B21EA483-1D52-4C54-BD62-8C1608D454C8}" name="Muudatused" totalsRowFunction="sum" dataDxfId="486" totalsRowDxfId="485"/>
    <tableColumn id="13" xr3:uid="{9A0144E7-7D3D-4987-A05E-C5BC01802128}" name="Eelarve" totalsRowFunction="sum" dataDxfId="484" totalsRowDxfId="483">
      <calculatedColumnFormula>Table114[[#This Row],[Eelarve 23.09.2025 seisuga ]]+Table114[[#This Row],[Muudatused]]</calculatedColumnFormula>
    </tableColumn>
    <tableColumn id="12" xr3:uid="{D90B9624-787C-4F71-BC2B-D5E6E17EBAA8}" name="Selgitused" dataDxfId="482" totalsRowDxfId="48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40CFC11-11F8-479D-B322-BDE8C8DE050F}" name="Table115" displayName="Table115" ref="A2:L10" totalsRowCount="1" headerRowDxfId="480" dataDxfId="479" totalsRowDxfId="478">
  <autoFilter ref="A2:L9" xr:uid="{640CFC11-11F8-479D-B322-BDE8C8DE050F}"/>
  <sortState xmlns:xlrd2="http://schemas.microsoft.com/office/spreadsheetml/2017/richdata2" ref="A3:L9">
    <sortCondition ref="B2:B9"/>
  </sortState>
  <tableColumns count="12">
    <tableColumn id="1" xr3:uid="{B5E67791-E559-4F3E-84AB-3C11063C659A}" name="Nimetus" dataDxfId="477" totalsRowDxfId="476"/>
    <tableColumn id="2" xr3:uid="{E94C89E7-5086-46C6-9E56-7AAD983801D0}" name="Kulugrupp" dataDxfId="475" totalsRowDxfId="474"/>
    <tableColumn id="3" xr3:uid="{BC476004-EC83-415A-B922-07A1394854D5}" name="Eelarvekonto" dataDxfId="473" totalsRowDxfId="472"/>
    <tableColumn id="4" xr3:uid="{354568BF-9DD0-41F0-B14D-E0C36BB470EC}" name="Eelarve liik ja objekt" dataDxfId="471" totalsRowDxfId="470"/>
    <tableColumn id="5" xr3:uid="{D79D7033-9794-4EC2-A235-0EAAAA9BCC8D}" name="Eelarve projekt" dataDxfId="469" totalsRowDxfId="468"/>
    <tableColumn id="6" xr3:uid="{B08175BD-BACC-4BDB-A04C-89267E9EC670}" name="Grant" dataDxfId="467" totalsRowDxfId="466"/>
    <tableColumn id="7" xr3:uid="{072B270F-CF65-413C-B215-BA39050603CC}" name="Tegevusala" dataDxfId="465" totalsRowDxfId="464"/>
    <tableColumn id="8" xr3:uid="{1D1D8096-0C12-4B1C-ACFD-B61DE0ACA0CC}" name="Kuluüksus" dataDxfId="463" totalsRowDxfId="462"/>
    <tableColumn id="11" xr3:uid="{AB397971-9184-4112-BD5E-EE28E33277CF}" name="Eelarve 23.09.2025 seisuga " totalsRowFunction="sum" dataDxfId="461" totalsRowDxfId="460"/>
    <tableColumn id="13" xr3:uid="{C311FF3F-5952-425A-B917-1AABFAE653B2}" name="Muudatused" totalsRowFunction="sum" dataDxfId="459" totalsRowDxfId="458"/>
    <tableColumn id="14" xr3:uid="{E9E39E75-3C15-4588-89CA-271BABB274FB}" name="Eelarve" totalsRowFunction="sum" dataDxfId="457" totalsRowDxfId="456">
      <calculatedColumnFormula>Table115[[#This Row],[Eelarve 23.09.2025 seisuga ]]+Table115[[#This Row],[Muudatused]]</calculatedColumnFormula>
    </tableColumn>
    <tableColumn id="12" xr3:uid="{5B3DC7FE-6B13-45B2-A477-E957C2CCAA9C}" name="Selgitused" dataDxfId="455" totalsRowDxfId="45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B124666-606B-4E68-90ED-49725F03B6B7}" name="Table116" displayName="Table116" ref="A2:L7" totalsRowCount="1" headerRowDxfId="453" dataDxfId="452" totalsRowDxfId="451">
  <autoFilter ref="A2:L6" xr:uid="{7B124666-606B-4E68-90ED-49725F03B6B7}"/>
  <sortState xmlns:xlrd2="http://schemas.microsoft.com/office/spreadsheetml/2017/richdata2" ref="A3:L6">
    <sortCondition ref="B2:B6"/>
  </sortState>
  <tableColumns count="12">
    <tableColumn id="1" xr3:uid="{BC0E5B3E-735E-4598-82C4-D8982CFB9CC2}" name="Nimetus" dataDxfId="450" totalsRowDxfId="449"/>
    <tableColumn id="2" xr3:uid="{754E69AD-9B4B-4004-8AB3-3C70858DBE41}" name="Kulugrupp" dataDxfId="448" totalsRowDxfId="447"/>
    <tableColumn id="3" xr3:uid="{648C5339-F7BC-4BDC-9B2E-1230F583E3C7}" name="Eelarvekonto" dataDxfId="446" totalsRowDxfId="445"/>
    <tableColumn id="4" xr3:uid="{0D546FBC-8645-4B5B-8F6D-975FF779D932}" name="Eelarve liik ja objekt" dataDxfId="444" totalsRowDxfId="443"/>
    <tableColumn id="5" xr3:uid="{4118BFDE-6D46-4A10-A5D9-BC22A3F22CF5}" name="Eelarve projekt" dataDxfId="442" totalsRowDxfId="441"/>
    <tableColumn id="6" xr3:uid="{E1B5BBF0-08AD-4B95-A160-7C20EA39C1FB}" name="Grant" dataDxfId="440" totalsRowDxfId="439"/>
    <tableColumn id="7" xr3:uid="{34890D76-B0C1-42F4-B938-2189FB7B518A}" name="Tegevusala" dataDxfId="438" totalsRowDxfId="437"/>
    <tableColumn id="8" xr3:uid="{6D9CA8B4-A990-49A9-B580-04AF0D069CB4}" name="Kuluüksus" dataDxfId="436" totalsRowDxfId="435"/>
    <tableColumn id="11" xr3:uid="{51F6ADDC-49ED-43DC-AA64-C419DACE4FA8}" name="Eelarve 23.09.2025 seisuga " totalsRowFunction="sum" dataDxfId="434" totalsRowDxfId="433"/>
    <tableColumn id="13" xr3:uid="{EFB0D020-65C4-43BC-9181-3241FC1744AD}" name="Muudatused" totalsRowFunction="sum" dataDxfId="432" totalsRowDxfId="431"/>
    <tableColumn id="14" xr3:uid="{650C31DF-6067-47CB-BE37-20CBF2EC12DD}" name="Eelarve" totalsRowFunction="sum" dataDxfId="430" totalsRowDxfId="429">
      <calculatedColumnFormula>Table116[[#This Row],[Eelarve 23.09.2025 seisuga ]]+Table116[[#This Row],[Muudatused]]</calculatedColumnFormula>
    </tableColumn>
    <tableColumn id="12" xr3:uid="{EC099098-1E78-49AB-9827-F8E89ACE29E6}" name="Selgitused" dataDxfId="428" totalsRowDxfId="4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A72AB0-CC68-4A09-B18C-1E556BC8557E}" name="Table14" displayName="Table14" ref="A2:L8" totalsRowCount="1" headerRowDxfId="426" dataDxfId="424" totalsRowDxfId="422" headerRowBorderDxfId="425" tableBorderDxfId="423">
  <autoFilter ref="A2:L7" xr:uid="{15A72AB0-CC68-4A09-B18C-1E556BC8557E}"/>
  <sortState xmlns:xlrd2="http://schemas.microsoft.com/office/spreadsheetml/2017/richdata2" ref="A3:L7">
    <sortCondition ref="B2:B7"/>
  </sortState>
  <tableColumns count="12">
    <tableColumn id="1" xr3:uid="{8CAA0DBA-9577-46B8-84C6-677BC9DFDA4D}" name="Nimetus" dataDxfId="421" totalsRowDxfId="420"/>
    <tableColumn id="2" xr3:uid="{86973D9D-0B9B-4CD7-B5BD-EAAB01B173E4}" name="Kulugrupp" dataDxfId="419" totalsRowDxfId="418"/>
    <tableColumn id="3" xr3:uid="{325375AA-2688-47A1-AA94-4753CD244AF7}" name="Eelarvekonto" dataDxfId="417" totalsRowDxfId="416"/>
    <tableColumn id="4" xr3:uid="{CA7C08A3-B2A4-4B80-80A7-E257A697A27E}" name="Eelarve liik ja objekt" dataDxfId="415" totalsRowDxfId="414"/>
    <tableColumn id="5" xr3:uid="{B1C0CA6E-531D-4EC6-BE7C-C59F1E28BD7B}" name="Eelarve projekt" dataDxfId="413" totalsRowDxfId="412"/>
    <tableColumn id="6" xr3:uid="{2A32B833-3D86-498F-9235-9CC4C3278DE8}" name="Grant" dataDxfId="411" totalsRowDxfId="410"/>
    <tableColumn id="7" xr3:uid="{0F1004D5-4577-4FFF-9419-C5ED8E199359}" name="Tegevusala" dataDxfId="409" totalsRowDxfId="408"/>
    <tableColumn id="8" xr3:uid="{8834C411-8565-42FE-876E-348ACE2EFAFD}" name="Kuluüksus" dataDxfId="407" totalsRowDxfId="406"/>
    <tableColumn id="11" xr3:uid="{9FDD5E71-9E97-4734-9E04-EC5334ECC272}" name="Eelarve 23.09.2025 seisuga " totalsRowFunction="sum" dataDxfId="405" totalsRowDxfId="404"/>
    <tableColumn id="13" xr3:uid="{7D7BE130-0E07-4889-89A5-5D323C61A10C}" name="Muudatused" totalsRowFunction="sum" dataDxfId="403" totalsRowDxfId="402"/>
    <tableColumn id="14" xr3:uid="{9439CA2C-528D-47BE-852F-2986EC61F402}" name="Eelarve" totalsRowFunction="sum" dataDxfId="401" totalsRowDxfId="400">
      <calculatedColumnFormula>Table14[[#This Row],[Eelarve 23.09.2025 seisuga ]]+Table14[[#This Row],[Muudatused]]</calculatedColumnFormula>
    </tableColumn>
    <tableColumn id="12" xr3:uid="{FEAA176E-4731-4149-BD32-18D5626BBDFC}" name="Selgitused" dataDxfId="399" totalsRowDxfId="39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9EFBC7D-3804-4E8A-9DB3-D93B2A15A4EE}" name="Table19" displayName="Table19" ref="A2:L13" totalsRowCount="1" headerRowDxfId="397" dataDxfId="396" totalsRowDxfId="395">
  <autoFilter ref="A2:L12" xr:uid="{79EFBC7D-3804-4E8A-9DB3-D93B2A15A4EE}"/>
  <sortState xmlns:xlrd2="http://schemas.microsoft.com/office/spreadsheetml/2017/richdata2" ref="A3:L12">
    <sortCondition ref="B2:B12"/>
  </sortState>
  <tableColumns count="12">
    <tableColumn id="1" xr3:uid="{5CC75E5C-C78D-49F2-8FFF-B120C3E97D7A}" name="Nimetus" dataDxfId="394" totalsRowDxfId="393"/>
    <tableColumn id="2" xr3:uid="{AEBAE657-B149-468E-8B78-6BCC8FDF3CA3}" name="Kulugrupp" dataDxfId="392" totalsRowDxfId="391"/>
    <tableColumn id="3" xr3:uid="{B67B8941-CEB2-4162-B36D-8C409FBCD7AD}" name="Eelarvekonto" dataDxfId="390" totalsRowDxfId="389"/>
    <tableColumn id="4" xr3:uid="{0D26FE72-C133-42FB-AF4C-9126A481C3C4}" name="Eelarve liik ja objekt" dataDxfId="388" totalsRowDxfId="387"/>
    <tableColumn id="5" xr3:uid="{DA9F64BC-6ADF-47D1-870F-8D5B1E536CC3}" name="Eelarve projekt" dataDxfId="386" totalsRowDxfId="385"/>
    <tableColumn id="6" xr3:uid="{44BEA5E4-7A35-4CE7-A82A-BAAB1303F451}" name="Grant" dataDxfId="384" totalsRowDxfId="383"/>
    <tableColumn id="7" xr3:uid="{35F770FD-A65E-4F11-B874-60F42BB7F918}" name="Tegevusala" dataDxfId="382" totalsRowDxfId="381"/>
    <tableColumn id="8" xr3:uid="{D8B00D6A-9EF0-4A41-B643-E8ABB4357778}" name="Kuluüksus" dataDxfId="380" totalsRowDxfId="379"/>
    <tableColumn id="11" xr3:uid="{4DD28524-5E19-41F9-8271-6D40EBB8A66E}" name="Eelarve 23.09.2025 seisuga " totalsRowFunction="sum" dataDxfId="378" totalsRowDxfId="377"/>
    <tableColumn id="13" xr3:uid="{DDF69F4D-9D63-4A08-A35A-ADBDDD16E67B}" name="Muudatused" totalsRowFunction="sum" dataDxfId="376" totalsRowDxfId="375"/>
    <tableColumn id="14" xr3:uid="{47099069-BAFD-42B7-8AC4-713CCE8682AB}" name="Eelarve" totalsRowFunction="sum" dataDxfId="374" totalsRowDxfId="373">
      <calculatedColumnFormula>Table19[[#This Row],[Eelarve 23.09.2025 seisuga ]]+Table19[[#This Row],[Muudatused]]</calculatedColumnFormula>
    </tableColumn>
    <tableColumn id="12" xr3:uid="{FE4CE461-7AF7-4C06-862F-EF9DEDF6BABD}" name="Selgitused" dataDxfId="372" totalsRowDxfId="37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8.81640625" defaultRowHeight="13" x14ac:dyDescent="0.3"/>
  <cols>
    <col min="1" max="1" width="21.08984375" style="2" customWidth="1"/>
    <col min="2" max="2" width="12.1796875" style="2" bestFit="1" customWidth="1"/>
    <col min="3" max="3" width="14.6328125" style="2" bestFit="1" customWidth="1"/>
    <col min="4" max="4" width="11.08984375" style="2" customWidth="1"/>
    <col min="5" max="5" width="15.90625" style="2" bestFit="1" customWidth="1"/>
    <col min="6" max="6" width="19.36328125" style="2" bestFit="1" customWidth="1"/>
    <col min="7" max="7" width="7.1796875" style="2" customWidth="1"/>
    <col min="8" max="8" width="11.6328125" style="2" bestFit="1" customWidth="1"/>
    <col min="9" max="11" width="12.1796875" style="2" customWidth="1"/>
    <col min="12" max="12" width="73.81640625" style="2" customWidth="1"/>
    <col min="13" max="16384" width="8.81640625" style="2"/>
  </cols>
  <sheetData>
    <row r="1" spans="1:12" x14ac:dyDescent="0.3">
      <c r="A1" s="1" t="s">
        <v>110</v>
      </c>
      <c r="L1" s="1" t="s">
        <v>111</v>
      </c>
    </row>
    <row r="2" spans="1:12" ht="39" x14ac:dyDescent="0.3">
      <c r="A2" s="11" t="s">
        <v>0</v>
      </c>
      <c r="B2" s="11" t="s">
        <v>1</v>
      </c>
      <c r="C2" s="11" t="s">
        <v>119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6" t="s">
        <v>396</v>
      </c>
      <c r="J2" s="16" t="s">
        <v>397</v>
      </c>
      <c r="K2" s="16" t="s">
        <v>398</v>
      </c>
      <c r="L2" s="11" t="s">
        <v>147</v>
      </c>
    </row>
    <row r="3" spans="1:12" x14ac:dyDescent="0.3">
      <c r="A3" s="7" t="s">
        <v>38</v>
      </c>
      <c r="B3" s="7" t="s">
        <v>39</v>
      </c>
      <c r="C3" s="7" t="s">
        <v>40</v>
      </c>
      <c r="D3" s="7" t="s">
        <v>18</v>
      </c>
      <c r="E3" s="7" t="s">
        <v>20</v>
      </c>
      <c r="F3" s="7" t="s">
        <v>20</v>
      </c>
      <c r="G3" s="7" t="s">
        <v>12</v>
      </c>
      <c r="H3" s="7" t="s">
        <v>27</v>
      </c>
      <c r="I3" s="8">
        <v>880</v>
      </c>
      <c r="J3" s="8"/>
      <c r="K3" s="8">
        <f>Table1[[#This Row],[Eelarve 23.09.2025 seisuga ]]+Table1[[#This Row],[Muudatused]]</f>
        <v>880</v>
      </c>
      <c r="L3" s="5" t="s">
        <v>339</v>
      </c>
    </row>
    <row r="4" spans="1:12" x14ac:dyDescent="0.3">
      <c r="A4" s="7" t="s">
        <v>41</v>
      </c>
      <c r="B4" s="7" t="s">
        <v>39</v>
      </c>
      <c r="C4" s="7" t="s">
        <v>42</v>
      </c>
      <c r="D4" s="7" t="s">
        <v>18</v>
      </c>
      <c r="E4" s="7" t="s">
        <v>20</v>
      </c>
      <c r="F4" s="7" t="s">
        <v>20</v>
      </c>
      <c r="G4" s="7" t="s">
        <v>12</v>
      </c>
      <c r="H4" s="7" t="s">
        <v>27</v>
      </c>
      <c r="I4" s="8">
        <v>275</v>
      </c>
      <c r="J4" s="8"/>
      <c r="K4" s="8">
        <f>Table1[[#This Row],[Eelarve 23.09.2025 seisuga ]]+Table1[[#This Row],[Muudatused]]</f>
        <v>275</v>
      </c>
      <c r="L4" s="9" t="s">
        <v>20</v>
      </c>
    </row>
    <row r="5" spans="1:12" x14ac:dyDescent="0.3">
      <c r="A5" s="7" t="s">
        <v>33</v>
      </c>
      <c r="B5" s="7" t="s">
        <v>16</v>
      </c>
      <c r="C5" s="7" t="s">
        <v>34</v>
      </c>
      <c r="D5" s="7" t="s">
        <v>18</v>
      </c>
      <c r="E5" s="7" t="s">
        <v>35</v>
      </c>
      <c r="F5" s="7" t="s">
        <v>20</v>
      </c>
      <c r="G5" s="7" t="s">
        <v>12</v>
      </c>
      <c r="H5" s="7" t="s">
        <v>21</v>
      </c>
      <c r="I5" s="8">
        <v>7000</v>
      </c>
      <c r="J5" s="8"/>
      <c r="K5" s="8">
        <f>Table1[[#This Row],[Eelarve 23.09.2025 seisuga ]]+Table1[[#This Row],[Muudatused]]</f>
        <v>7000</v>
      </c>
      <c r="L5" s="9"/>
    </row>
    <row r="6" spans="1:12" x14ac:dyDescent="0.3">
      <c r="A6" s="7" t="s">
        <v>15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7" t="s">
        <v>12</v>
      </c>
      <c r="H6" s="7" t="s">
        <v>21</v>
      </c>
      <c r="I6" s="8">
        <v>26000</v>
      </c>
      <c r="J6" s="8"/>
      <c r="K6" s="8">
        <f>Table1[[#This Row],[Eelarve 23.09.2025 seisuga ]]+Table1[[#This Row],[Muudatused]]</f>
        <v>26000</v>
      </c>
      <c r="L6" s="9"/>
    </row>
    <row r="7" spans="1:12" x14ac:dyDescent="0.3">
      <c r="A7" s="7" t="s">
        <v>43</v>
      </c>
      <c r="B7" s="7" t="s">
        <v>16</v>
      </c>
      <c r="C7" s="7" t="s">
        <v>44</v>
      </c>
      <c r="D7" s="7" t="s">
        <v>45</v>
      </c>
      <c r="E7" s="7" t="s">
        <v>46</v>
      </c>
      <c r="F7" s="7" t="s">
        <v>20</v>
      </c>
      <c r="G7" s="7" t="s">
        <v>12</v>
      </c>
      <c r="H7" s="7" t="s">
        <v>21</v>
      </c>
      <c r="I7" s="8">
        <v>100000.1</v>
      </c>
      <c r="J7" s="8"/>
      <c r="K7" s="8">
        <f>Table1[[#This Row],[Eelarve 23.09.2025 seisuga ]]+Table1[[#This Row],[Muudatused]]</f>
        <v>100000.1</v>
      </c>
      <c r="L7" s="10" t="s">
        <v>340</v>
      </c>
    </row>
    <row r="8" spans="1:12" x14ac:dyDescent="0.3">
      <c r="A8" s="7" t="s">
        <v>47</v>
      </c>
      <c r="B8" s="7" t="s">
        <v>16</v>
      </c>
      <c r="C8" s="7" t="s">
        <v>9</v>
      </c>
      <c r="D8" s="7" t="s">
        <v>18</v>
      </c>
      <c r="E8" s="7" t="s">
        <v>48</v>
      </c>
      <c r="F8" s="7" t="s">
        <v>20</v>
      </c>
      <c r="G8" s="7" t="s">
        <v>12</v>
      </c>
      <c r="H8" s="7" t="s">
        <v>27</v>
      </c>
      <c r="I8" s="8">
        <v>12850.1</v>
      </c>
      <c r="J8" s="8"/>
      <c r="K8" s="8">
        <f>Table1[[#This Row],[Eelarve 23.09.2025 seisuga ]]+Table1[[#This Row],[Muudatused]]</f>
        <v>12850.1</v>
      </c>
      <c r="L8" s="9" t="s">
        <v>116</v>
      </c>
    </row>
    <row r="9" spans="1:12" x14ac:dyDescent="0.3">
      <c r="A9" s="7" t="s">
        <v>29</v>
      </c>
      <c r="B9" s="7" t="s">
        <v>16</v>
      </c>
      <c r="C9" s="7" t="s">
        <v>30</v>
      </c>
      <c r="D9" s="7" t="s">
        <v>31</v>
      </c>
      <c r="E9" s="7" t="s">
        <v>32</v>
      </c>
      <c r="F9" s="7" t="s">
        <v>20</v>
      </c>
      <c r="G9" s="7" t="s">
        <v>12</v>
      </c>
      <c r="H9" s="7" t="s">
        <v>21</v>
      </c>
      <c r="I9" s="8">
        <v>147147</v>
      </c>
      <c r="J9" s="8"/>
      <c r="K9" s="8">
        <f>Table1[[#This Row],[Eelarve 23.09.2025 seisuga ]]+Table1[[#This Row],[Muudatused]]</f>
        <v>147147</v>
      </c>
      <c r="L9" s="9" t="s">
        <v>341</v>
      </c>
    </row>
    <row r="10" spans="1:12" x14ac:dyDescent="0.3">
      <c r="A10" s="7" t="s">
        <v>15</v>
      </c>
      <c r="B10" s="7" t="s">
        <v>16</v>
      </c>
      <c r="C10" s="7" t="s">
        <v>17</v>
      </c>
      <c r="D10" s="7" t="s">
        <v>18</v>
      </c>
      <c r="E10" s="7" t="s">
        <v>32</v>
      </c>
      <c r="F10" s="7" t="s">
        <v>20</v>
      </c>
      <c r="G10" s="7" t="s">
        <v>12</v>
      </c>
      <c r="H10" s="7" t="s">
        <v>21</v>
      </c>
      <c r="I10" s="8">
        <v>13850.1</v>
      </c>
      <c r="J10" s="8"/>
      <c r="K10" s="8">
        <f>Table1[[#This Row],[Eelarve 23.09.2025 seisuga ]]+Table1[[#This Row],[Muudatused]]</f>
        <v>13850.1</v>
      </c>
      <c r="L10" s="9"/>
    </row>
    <row r="11" spans="1:12" x14ac:dyDescent="0.3">
      <c r="A11" s="7" t="s">
        <v>330</v>
      </c>
      <c r="B11" s="7" t="s">
        <v>36</v>
      </c>
      <c r="C11" s="7" t="s">
        <v>37</v>
      </c>
      <c r="D11" s="7" t="s">
        <v>18</v>
      </c>
      <c r="E11" s="7" t="s">
        <v>20</v>
      </c>
      <c r="F11" s="7" t="s">
        <v>20</v>
      </c>
      <c r="G11" s="7" t="s">
        <v>12</v>
      </c>
      <c r="H11" s="7" t="s">
        <v>21</v>
      </c>
      <c r="I11" s="8">
        <v>4000</v>
      </c>
      <c r="J11" s="8"/>
      <c r="K11" s="8">
        <f>Table1[[#This Row],[Eelarve 23.09.2025 seisuga ]]+Table1[[#This Row],[Muudatused]]</f>
        <v>4000</v>
      </c>
      <c r="L11" s="9"/>
    </row>
    <row r="12" spans="1:12" x14ac:dyDescent="0.3">
      <c r="A12" s="7" t="s">
        <v>7</v>
      </c>
      <c r="B12" s="7" t="s">
        <v>8</v>
      </c>
      <c r="C12" s="7" t="s">
        <v>9</v>
      </c>
      <c r="D12" s="7" t="s">
        <v>10</v>
      </c>
      <c r="E12" s="7" t="s">
        <v>20</v>
      </c>
      <c r="F12" s="7" t="s">
        <v>22</v>
      </c>
      <c r="G12" s="7" t="s">
        <v>23</v>
      </c>
      <c r="H12" s="7" t="s">
        <v>24</v>
      </c>
      <c r="I12" s="8">
        <v>48168</v>
      </c>
      <c r="J12" s="8">
        <v>3212</v>
      </c>
      <c r="K12" s="8">
        <f>Table1[[#This Row],[Eelarve 23.09.2025 seisuga ]]+Table1[[#This Row],[Muudatused]]</f>
        <v>51380</v>
      </c>
      <c r="L12" s="9" t="s">
        <v>25</v>
      </c>
    </row>
    <row r="13" spans="1:12" x14ac:dyDescent="0.3">
      <c r="A13" s="7" t="s">
        <v>7</v>
      </c>
      <c r="B13" s="7" t="s">
        <v>8</v>
      </c>
      <c r="C13" s="7" t="s">
        <v>9</v>
      </c>
      <c r="D13" s="7" t="s">
        <v>10</v>
      </c>
      <c r="E13" s="7" t="s">
        <v>20</v>
      </c>
      <c r="F13" s="7" t="s">
        <v>26</v>
      </c>
      <c r="G13" s="7" t="s">
        <v>12</v>
      </c>
      <c r="H13" s="7" t="s">
        <v>27</v>
      </c>
      <c r="I13" s="8">
        <v>44996</v>
      </c>
      <c r="J13" s="8">
        <v>24400</v>
      </c>
      <c r="K13" s="8">
        <f>Table1[[#This Row],[Eelarve 23.09.2025 seisuga ]]+Table1[[#This Row],[Muudatused]]</f>
        <v>69396</v>
      </c>
      <c r="L13" s="9" t="s">
        <v>28</v>
      </c>
    </row>
    <row r="14" spans="1:12" x14ac:dyDescent="0.3">
      <c r="A14" s="7" t="s">
        <v>7</v>
      </c>
      <c r="B14" s="7" t="s">
        <v>8</v>
      </c>
      <c r="C14" s="7" t="s">
        <v>9</v>
      </c>
      <c r="D14" s="7" t="s">
        <v>10</v>
      </c>
      <c r="E14" s="7"/>
      <c r="F14" s="7" t="s">
        <v>11</v>
      </c>
      <c r="G14" s="7" t="s">
        <v>12</v>
      </c>
      <c r="H14" s="7" t="s">
        <v>13</v>
      </c>
      <c r="I14" s="8">
        <v>52000</v>
      </c>
      <c r="J14" s="8">
        <v>2600</v>
      </c>
      <c r="K14" s="8">
        <f>Table1[[#This Row],[Eelarve 23.09.2025 seisuga ]]+Table1[[#This Row],[Muudatused]]</f>
        <v>54600</v>
      </c>
      <c r="L14" s="9" t="s">
        <v>14</v>
      </c>
    </row>
    <row r="15" spans="1:12" x14ac:dyDescent="0.3">
      <c r="I15" s="23">
        <f>SUBTOTAL(109,Table1[Eelarve 23.09.2025 seisuga ])</f>
        <v>457166.3</v>
      </c>
      <c r="J15" s="3">
        <f>SUBTOTAL(109,Table1[Muudatused])</f>
        <v>30212</v>
      </c>
      <c r="K15" s="3">
        <f>SUBTOTAL(109,Table1[Eelarve])</f>
        <v>487378.3</v>
      </c>
      <c r="L15" s="4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558E-D0EB-41A9-9513-F3E08FA43166}">
  <dimension ref="A1:L9"/>
  <sheetViews>
    <sheetView workbookViewId="0">
      <selection activeCell="A2" sqref="A2"/>
    </sheetView>
  </sheetViews>
  <sheetFormatPr defaultColWidth="8.81640625" defaultRowHeight="13" x14ac:dyDescent="0.3"/>
  <cols>
    <col min="1" max="1" width="18.1796875" style="2" bestFit="1" customWidth="1"/>
    <col min="2" max="2" width="13.1796875" style="2" bestFit="1" customWidth="1"/>
    <col min="3" max="3" width="12.81640625" style="2" bestFit="1" customWidth="1"/>
    <col min="4" max="4" width="10.90625" style="2" bestFit="1" customWidth="1"/>
    <col min="5" max="5" width="14.81640625" style="2" bestFit="1" customWidth="1"/>
    <col min="6" max="6" width="9.81640625" style="2" bestFit="1" customWidth="1"/>
    <col min="7" max="7" width="12.81640625" style="2" bestFit="1" customWidth="1"/>
    <col min="8" max="8" width="13.1796875" style="2" bestFit="1" customWidth="1"/>
    <col min="9" max="9" width="12.453125" style="2" bestFit="1" customWidth="1"/>
    <col min="10" max="11" width="12.453125" style="2" customWidth="1"/>
    <col min="12" max="12" width="41.81640625" style="31" bestFit="1" customWidth="1"/>
    <col min="13" max="16384" width="8.81640625" style="2"/>
  </cols>
  <sheetData>
    <row r="1" spans="1:12" x14ac:dyDescent="0.3">
      <c r="A1" s="12" t="s">
        <v>294</v>
      </c>
      <c r="L1" s="30" t="s">
        <v>295</v>
      </c>
    </row>
    <row r="2" spans="1:12" s="14" customFormat="1" ht="39" x14ac:dyDescent="0.35">
      <c r="A2" s="11" t="s">
        <v>0</v>
      </c>
      <c r="B2" s="11" t="s">
        <v>1</v>
      </c>
      <c r="C2" s="11" t="s">
        <v>119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6" t="s">
        <v>396</v>
      </c>
      <c r="J2" s="16" t="s">
        <v>397</v>
      </c>
      <c r="K2" s="16" t="s">
        <v>398</v>
      </c>
      <c r="L2" s="53" t="s">
        <v>147</v>
      </c>
    </row>
    <row r="3" spans="1:12" x14ac:dyDescent="0.3">
      <c r="A3" s="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172</v>
      </c>
      <c r="I3" s="8">
        <v>1320</v>
      </c>
      <c r="J3" s="8"/>
      <c r="K3" s="8">
        <f>Table111[[#This Row],[Eelarve 23.09.2025 seisuga ]]+Table111[[#This Row],[Muudatused]]</f>
        <v>1320</v>
      </c>
      <c r="L3" s="38" t="s">
        <v>115</v>
      </c>
    </row>
    <row r="4" spans="1:12" x14ac:dyDescent="0.3">
      <c r="A4" s="7" t="s">
        <v>41</v>
      </c>
      <c r="B4" s="7" t="s">
        <v>39</v>
      </c>
      <c r="C4" s="7" t="s">
        <v>42</v>
      </c>
      <c r="D4" s="7" t="s">
        <v>18</v>
      </c>
      <c r="E4" s="7"/>
      <c r="F4" s="7"/>
      <c r="G4" s="7" t="s">
        <v>12</v>
      </c>
      <c r="H4" s="7" t="s">
        <v>172</v>
      </c>
      <c r="I4" s="8">
        <v>1751</v>
      </c>
      <c r="J4" s="8"/>
      <c r="K4" s="8">
        <f>Table111[[#This Row],[Eelarve 23.09.2025 seisuga ]]+Table111[[#This Row],[Muudatused]]</f>
        <v>1751</v>
      </c>
      <c r="L4" s="38" t="s">
        <v>134</v>
      </c>
    </row>
    <row r="5" spans="1:12" ht="52" x14ac:dyDescent="0.3">
      <c r="A5" s="7" t="s">
        <v>173</v>
      </c>
      <c r="B5" s="7" t="s">
        <v>16</v>
      </c>
      <c r="C5" s="7" t="s">
        <v>64</v>
      </c>
      <c r="D5" s="7" t="s">
        <v>174</v>
      </c>
      <c r="E5" s="7" t="s">
        <v>175</v>
      </c>
      <c r="F5" s="7"/>
      <c r="G5" s="7" t="s">
        <v>12</v>
      </c>
      <c r="H5" s="7" t="s">
        <v>172</v>
      </c>
      <c r="I5" s="8">
        <v>2500</v>
      </c>
      <c r="J5" s="8">
        <v>60</v>
      </c>
      <c r="K5" s="8">
        <f>Table111[[#This Row],[Eelarve 23.09.2025 seisuga ]]+Table111[[#This Row],[Muudatused]]</f>
        <v>2560</v>
      </c>
      <c r="L5" s="32" t="s">
        <v>357</v>
      </c>
    </row>
    <row r="6" spans="1:12" ht="26" x14ac:dyDescent="0.3">
      <c r="A6" s="7" t="s">
        <v>173</v>
      </c>
      <c r="B6" s="7" t="s">
        <v>16</v>
      </c>
      <c r="C6" s="7" t="s">
        <v>64</v>
      </c>
      <c r="D6" s="7" t="s">
        <v>174</v>
      </c>
      <c r="E6" s="7" t="s">
        <v>176</v>
      </c>
      <c r="F6" s="7"/>
      <c r="G6" s="7" t="s">
        <v>12</v>
      </c>
      <c r="H6" s="7" t="s">
        <v>172</v>
      </c>
      <c r="I6" s="8">
        <v>43341</v>
      </c>
      <c r="J6" s="8"/>
      <c r="K6" s="8">
        <f>Table111[[#This Row],[Eelarve 23.09.2025 seisuga ]]+Table111[[#This Row],[Muudatused]]</f>
        <v>43341</v>
      </c>
      <c r="L6" s="5" t="s">
        <v>358</v>
      </c>
    </row>
    <row r="7" spans="1:12" ht="39" x14ac:dyDescent="0.3">
      <c r="A7" s="7" t="s">
        <v>177</v>
      </c>
      <c r="B7" s="7" t="s">
        <v>16</v>
      </c>
      <c r="C7" s="7" t="s">
        <v>50</v>
      </c>
      <c r="D7" s="7" t="s">
        <v>18</v>
      </c>
      <c r="E7" s="7" t="s">
        <v>178</v>
      </c>
      <c r="F7" s="7"/>
      <c r="G7" s="7" t="s">
        <v>12</v>
      </c>
      <c r="H7" s="7" t="s">
        <v>172</v>
      </c>
      <c r="I7" s="8">
        <v>570000</v>
      </c>
      <c r="J7" s="8">
        <v>-245000</v>
      </c>
      <c r="K7" s="8">
        <f>Table111[[#This Row],[Eelarve 23.09.2025 seisuga ]]+Table111[[#This Row],[Muudatused]]</f>
        <v>325000</v>
      </c>
      <c r="L7" s="5" t="s">
        <v>359</v>
      </c>
    </row>
    <row r="8" spans="1:12" x14ac:dyDescent="0.3">
      <c r="A8" s="7" t="s">
        <v>47</v>
      </c>
      <c r="B8" s="7" t="s">
        <v>16</v>
      </c>
      <c r="C8" s="7" t="s">
        <v>9</v>
      </c>
      <c r="D8" s="7" t="s">
        <v>18</v>
      </c>
      <c r="E8" s="7" t="s">
        <v>179</v>
      </c>
      <c r="F8" s="7"/>
      <c r="G8" s="7" t="s">
        <v>12</v>
      </c>
      <c r="H8" s="7" t="s">
        <v>172</v>
      </c>
      <c r="I8" s="8">
        <v>20200.099999999999</v>
      </c>
      <c r="J8" s="8"/>
      <c r="K8" s="8">
        <f>Table111[[#This Row],[Eelarve 23.09.2025 seisuga ]]+Table111[[#This Row],[Muudatused]]</f>
        <v>20200.099999999999</v>
      </c>
      <c r="L8" s="38" t="s">
        <v>116</v>
      </c>
    </row>
    <row r="9" spans="1:12" x14ac:dyDescent="0.3">
      <c r="I9" s="3">
        <f>SUBTOTAL(109,Table111[Eelarve 23.09.2025 seisuga ])</f>
        <v>639112.1</v>
      </c>
      <c r="J9" s="3">
        <f>SUBTOTAL(109,Table111[Muudatused])</f>
        <v>-244940</v>
      </c>
      <c r="K9" s="3">
        <f>SUBTOTAL(109,Table111[Eelarve])</f>
        <v>394172.1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D91D4-0D32-4C36-873A-2E4040950646}">
  <dimension ref="A1:L24"/>
  <sheetViews>
    <sheetView workbookViewId="0">
      <pane ySplit="2" topLeftCell="A17" activePane="bottomLeft" state="frozen"/>
      <selection pane="bottomLeft" activeCell="A2" sqref="A2"/>
    </sheetView>
  </sheetViews>
  <sheetFormatPr defaultColWidth="8.81640625" defaultRowHeight="13" x14ac:dyDescent="0.3"/>
  <cols>
    <col min="1" max="1" width="18.81640625" style="4" customWidth="1"/>
    <col min="2" max="2" width="17.1796875" style="2" bestFit="1" customWidth="1"/>
    <col min="3" max="3" width="12.81640625" style="2" bestFit="1" customWidth="1"/>
    <col min="4" max="4" width="10.90625" style="2" bestFit="1" customWidth="1"/>
    <col min="5" max="5" width="22" style="2" customWidth="1"/>
    <col min="6" max="6" width="9.81640625" style="2" bestFit="1" customWidth="1"/>
    <col min="7" max="7" width="12.81640625" style="2" bestFit="1" customWidth="1"/>
    <col min="8" max="8" width="13.1796875" style="2" bestFit="1" customWidth="1"/>
    <col min="9" max="9" width="12.453125" style="2" bestFit="1" customWidth="1"/>
    <col min="10" max="11" width="12.453125" style="2" customWidth="1"/>
    <col min="12" max="12" width="86.08984375" style="31" customWidth="1"/>
    <col min="13" max="16384" width="8.81640625" style="2"/>
  </cols>
  <sheetData>
    <row r="1" spans="1:12" x14ac:dyDescent="0.3">
      <c r="A1" s="13" t="s">
        <v>296</v>
      </c>
      <c r="L1" s="30" t="s">
        <v>297</v>
      </c>
    </row>
    <row r="2" spans="1:12" s="14" customFormat="1" ht="39" x14ac:dyDescent="0.35">
      <c r="A2" s="15" t="s">
        <v>0</v>
      </c>
      <c r="B2" s="16" t="s">
        <v>1</v>
      </c>
      <c r="C2" s="16" t="s">
        <v>119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396</v>
      </c>
      <c r="J2" s="16" t="s">
        <v>397</v>
      </c>
      <c r="K2" s="16" t="s">
        <v>398</v>
      </c>
      <c r="L2" s="54" t="s">
        <v>147</v>
      </c>
    </row>
    <row r="3" spans="1:12" ht="26" x14ac:dyDescent="0.3">
      <c r="A3" s="21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180</v>
      </c>
      <c r="I3" s="8">
        <v>616</v>
      </c>
      <c r="J3" s="8">
        <v>500</v>
      </c>
      <c r="K3" s="8">
        <f>Table113[[#This Row],[Eelarve 23.09.2025 seisuga ]]+Table113[[#This Row],[Muudatused]]</f>
        <v>1116</v>
      </c>
      <c r="L3" s="32" t="s">
        <v>370</v>
      </c>
    </row>
    <row r="4" spans="1:12" x14ac:dyDescent="0.3">
      <c r="A4" s="21" t="s">
        <v>41</v>
      </c>
      <c r="B4" s="7" t="s">
        <v>39</v>
      </c>
      <c r="C4" s="7" t="s">
        <v>42</v>
      </c>
      <c r="D4" s="7" t="s">
        <v>18</v>
      </c>
      <c r="E4" s="7"/>
      <c r="F4" s="7"/>
      <c r="G4" s="7" t="s">
        <v>12</v>
      </c>
      <c r="H4" s="7" t="s">
        <v>180</v>
      </c>
      <c r="I4" s="8">
        <v>943</v>
      </c>
      <c r="J4" s="8"/>
      <c r="K4" s="8">
        <f>Table113[[#This Row],[Eelarve 23.09.2025 seisuga ]]+Table113[[#This Row],[Muudatused]]</f>
        <v>943</v>
      </c>
      <c r="L4" s="38" t="s">
        <v>134</v>
      </c>
    </row>
    <row r="5" spans="1:12" ht="26" x14ac:dyDescent="0.3">
      <c r="A5" s="21" t="s">
        <v>47</v>
      </c>
      <c r="B5" s="7" t="s">
        <v>16</v>
      </c>
      <c r="C5" s="7" t="s">
        <v>9</v>
      </c>
      <c r="D5" s="7" t="s">
        <v>18</v>
      </c>
      <c r="E5" s="7" t="s">
        <v>182</v>
      </c>
      <c r="F5" s="7"/>
      <c r="G5" s="7" t="s">
        <v>12</v>
      </c>
      <c r="H5" s="7" t="s">
        <v>161</v>
      </c>
      <c r="I5" s="8">
        <v>20934</v>
      </c>
      <c r="J5" s="27">
        <v>13846</v>
      </c>
      <c r="K5" s="27">
        <f>Table113[[#This Row],[Eelarve 23.09.2025 seisuga ]]+Table113[[#This Row],[Muudatused]]</f>
        <v>34780</v>
      </c>
      <c r="L5" s="40" t="s">
        <v>367</v>
      </c>
    </row>
    <row r="6" spans="1:12" ht="63" customHeight="1" x14ac:dyDescent="0.3">
      <c r="A6" s="21" t="s">
        <v>47</v>
      </c>
      <c r="B6" s="7" t="s">
        <v>16</v>
      </c>
      <c r="C6" s="7" t="s">
        <v>9</v>
      </c>
      <c r="D6" s="7" t="s">
        <v>18</v>
      </c>
      <c r="E6" s="7" t="s">
        <v>183</v>
      </c>
      <c r="F6" s="7"/>
      <c r="G6" s="7" t="s">
        <v>12</v>
      </c>
      <c r="H6" s="7" t="s">
        <v>161</v>
      </c>
      <c r="I6" s="8">
        <v>120771.1</v>
      </c>
      <c r="J6" s="27">
        <v>1768</v>
      </c>
      <c r="K6" s="27">
        <f>Table113[[#This Row],[Eelarve 23.09.2025 seisuga ]]+Table113[[#This Row],[Muudatused]]</f>
        <v>122539.1</v>
      </c>
      <c r="L6" s="40" t="s">
        <v>368</v>
      </c>
    </row>
    <row r="7" spans="1:12" x14ac:dyDescent="0.3">
      <c r="A7" s="21" t="s">
        <v>47</v>
      </c>
      <c r="B7" s="7" t="s">
        <v>16</v>
      </c>
      <c r="C7" s="7" t="s">
        <v>9</v>
      </c>
      <c r="D7" s="7" t="s">
        <v>18</v>
      </c>
      <c r="E7" s="7" t="s">
        <v>184</v>
      </c>
      <c r="F7" s="7"/>
      <c r="G7" s="7" t="s">
        <v>12</v>
      </c>
      <c r="H7" s="7" t="s">
        <v>161</v>
      </c>
      <c r="I7" s="8">
        <v>87543.1</v>
      </c>
      <c r="J7" s="27">
        <v>-84589</v>
      </c>
      <c r="K7" s="27">
        <f>Table113[[#This Row],[Eelarve 23.09.2025 seisuga ]]+Table113[[#This Row],[Muudatused]]</f>
        <v>2954.1000000000058</v>
      </c>
      <c r="L7" s="40" t="s">
        <v>369</v>
      </c>
    </row>
    <row r="8" spans="1:12" x14ac:dyDescent="0.3">
      <c r="A8" s="21" t="s">
        <v>47</v>
      </c>
      <c r="B8" s="7" t="s">
        <v>16</v>
      </c>
      <c r="C8" s="7" t="s">
        <v>9</v>
      </c>
      <c r="D8" s="7" t="s">
        <v>18</v>
      </c>
      <c r="E8" s="7" t="s">
        <v>185</v>
      </c>
      <c r="F8" s="7"/>
      <c r="G8" s="7" t="s">
        <v>12</v>
      </c>
      <c r="H8" s="7" t="s">
        <v>180</v>
      </c>
      <c r="I8" s="8">
        <v>8100.1</v>
      </c>
      <c r="J8" s="8"/>
      <c r="K8" s="8">
        <f>Table113[[#This Row],[Eelarve 23.09.2025 seisuga ]]+Table113[[#This Row],[Muudatused]]</f>
        <v>8100.1</v>
      </c>
      <c r="L8" s="38" t="s">
        <v>116</v>
      </c>
    </row>
    <row r="9" spans="1:12" ht="26" x14ac:dyDescent="0.3">
      <c r="A9" s="21" t="s">
        <v>7</v>
      </c>
      <c r="B9" s="7" t="s">
        <v>16</v>
      </c>
      <c r="C9" s="7" t="s">
        <v>9</v>
      </c>
      <c r="D9" s="7" t="s">
        <v>65</v>
      </c>
      <c r="E9" s="7" t="s">
        <v>181</v>
      </c>
      <c r="F9" s="7"/>
      <c r="G9" s="7" t="s">
        <v>12</v>
      </c>
      <c r="H9" s="7" t="s">
        <v>72</v>
      </c>
      <c r="I9" s="8">
        <v>97000.1</v>
      </c>
      <c r="J9" s="27"/>
      <c r="K9" s="27">
        <f>Table113[[#This Row],[Eelarve 23.09.2025 seisuga ]]+Table113[[#This Row],[Muudatused]]</f>
        <v>97000.1</v>
      </c>
      <c r="L9" s="40" t="s">
        <v>338</v>
      </c>
    </row>
    <row r="10" spans="1:12" ht="26" x14ac:dyDescent="0.3">
      <c r="A10" s="21" t="s">
        <v>186</v>
      </c>
      <c r="B10" s="7" t="s">
        <v>36</v>
      </c>
      <c r="C10" s="7" t="s">
        <v>151</v>
      </c>
      <c r="D10" s="7" t="s">
        <v>18</v>
      </c>
      <c r="E10" s="7" t="s">
        <v>20</v>
      </c>
      <c r="F10" s="7"/>
      <c r="G10" s="7" t="s">
        <v>12</v>
      </c>
      <c r="H10" s="7" t="s">
        <v>161</v>
      </c>
      <c r="I10" s="8">
        <v>67708</v>
      </c>
      <c r="J10" s="27"/>
      <c r="K10" s="27">
        <f>Table113[[#This Row],[Eelarve 23.09.2025 seisuga ]]+Table113[[#This Row],[Muudatused]]</f>
        <v>67708</v>
      </c>
      <c r="L10" s="40" t="s">
        <v>337</v>
      </c>
    </row>
    <row r="11" spans="1:12" x14ac:dyDescent="0.3">
      <c r="A11" s="21" t="s">
        <v>70</v>
      </c>
      <c r="B11" s="7" t="s">
        <v>36</v>
      </c>
      <c r="C11" s="7" t="s">
        <v>71</v>
      </c>
      <c r="D11" s="7" t="s">
        <v>18</v>
      </c>
      <c r="E11" s="7" t="s">
        <v>20</v>
      </c>
      <c r="F11" s="7"/>
      <c r="G11" s="7" t="s">
        <v>12</v>
      </c>
      <c r="H11" s="7" t="s">
        <v>180</v>
      </c>
      <c r="I11" s="8">
        <v>12000</v>
      </c>
      <c r="J11" s="27"/>
      <c r="K11" s="27">
        <f>Table113[[#This Row],[Eelarve 23.09.2025 seisuga ]]+Table113[[#This Row],[Muudatused]]</f>
        <v>12000</v>
      </c>
      <c r="L11" s="40"/>
    </row>
    <row r="12" spans="1:12" ht="16" customHeight="1" x14ac:dyDescent="0.3">
      <c r="A12" s="21" t="s">
        <v>187</v>
      </c>
      <c r="B12" s="7" t="s">
        <v>36</v>
      </c>
      <c r="C12" s="7" t="s">
        <v>64</v>
      </c>
      <c r="D12" s="7" t="s">
        <v>188</v>
      </c>
      <c r="E12" s="7" t="s">
        <v>20</v>
      </c>
      <c r="F12" s="7"/>
      <c r="G12" s="7" t="s">
        <v>189</v>
      </c>
      <c r="H12" s="7" t="s">
        <v>180</v>
      </c>
      <c r="I12" s="8">
        <v>4930500</v>
      </c>
      <c r="J12" s="27"/>
      <c r="K12" s="27">
        <f>Table113[[#This Row],[Eelarve 23.09.2025 seisuga ]]+Table113[[#This Row],[Muudatused]]</f>
        <v>4930500</v>
      </c>
      <c r="L12" s="40" t="s">
        <v>20</v>
      </c>
    </row>
    <row r="13" spans="1:12" ht="16" customHeight="1" x14ac:dyDescent="0.3">
      <c r="A13" s="21" t="s">
        <v>190</v>
      </c>
      <c r="B13" s="7" t="s">
        <v>36</v>
      </c>
      <c r="C13" s="7" t="s">
        <v>9</v>
      </c>
      <c r="D13" s="7" t="s">
        <v>336</v>
      </c>
      <c r="E13" s="7" t="s">
        <v>20</v>
      </c>
      <c r="F13" s="7"/>
      <c r="G13" s="7" t="s">
        <v>12</v>
      </c>
      <c r="H13" s="7" t="s">
        <v>161</v>
      </c>
      <c r="I13" s="8">
        <v>8137483</v>
      </c>
      <c r="J13" s="27"/>
      <c r="K13" s="27">
        <f>Table113[[#This Row],[Eelarve 23.09.2025 seisuga ]]+Table113[[#This Row],[Muudatused]]</f>
        <v>8137483</v>
      </c>
      <c r="L13" s="40" t="s">
        <v>371</v>
      </c>
    </row>
    <row r="14" spans="1:12" ht="26" x14ac:dyDescent="0.3">
      <c r="A14" s="21" t="s">
        <v>29</v>
      </c>
      <c r="B14" s="7" t="s">
        <v>191</v>
      </c>
      <c r="C14" s="7" t="s">
        <v>30</v>
      </c>
      <c r="D14" s="7" t="s">
        <v>31</v>
      </c>
      <c r="E14" s="7" t="s">
        <v>192</v>
      </c>
      <c r="F14" s="7"/>
      <c r="G14" s="7" t="s">
        <v>12</v>
      </c>
      <c r="H14" s="7" t="s">
        <v>72</v>
      </c>
      <c r="I14" s="8">
        <v>1033645.1</v>
      </c>
      <c r="J14" s="27">
        <v>-1033645</v>
      </c>
      <c r="K14" s="27">
        <f>Table113[[#This Row],[Eelarve 23.09.2025 seisuga ]]+Table113[[#This Row],[Muudatused]]</f>
        <v>9.9999999976716936E-2</v>
      </c>
      <c r="L14" s="44" t="s">
        <v>372</v>
      </c>
    </row>
    <row r="15" spans="1:12" x14ac:dyDescent="0.3">
      <c r="A15" s="21" t="s">
        <v>33</v>
      </c>
      <c r="B15" s="7" t="s">
        <v>191</v>
      </c>
      <c r="C15" s="7" t="s">
        <v>34</v>
      </c>
      <c r="D15" s="7" t="s">
        <v>18</v>
      </c>
      <c r="E15" s="7" t="s">
        <v>200</v>
      </c>
      <c r="F15" s="7"/>
      <c r="G15" s="7" t="s">
        <v>12</v>
      </c>
      <c r="H15" s="7" t="s">
        <v>72</v>
      </c>
      <c r="I15" s="8">
        <v>73267</v>
      </c>
      <c r="J15" s="27">
        <v>-73267</v>
      </c>
      <c r="K15" s="27">
        <f>Table113[[#This Row],[Eelarve 23.09.2025 seisuga ]]+Table113[[#This Row],[Muudatused]]</f>
        <v>0</v>
      </c>
      <c r="L15" s="44" t="s">
        <v>361</v>
      </c>
    </row>
    <row r="16" spans="1:12" x14ac:dyDescent="0.3">
      <c r="A16" s="21" t="s">
        <v>29</v>
      </c>
      <c r="B16" s="7" t="s">
        <v>191</v>
      </c>
      <c r="C16" s="7" t="s">
        <v>30</v>
      </c>
      <c r="D16" s="7" t="s">
        <v>31</v>
      </c>
      <c r="E16" s="7" t="s">
        <v>193</v>
      </c>
      <c r="F16" s="7"/>
      <c r="G16" s="7" t="s">
        <v>12</v>
      </c>
      <c r="H16" s="7" t="s">
        <v>72</v>
      </c>
      <c r="I16" s="8">
        <v>566702.1</v>
      </c>
      <c r="J16" s="27">
        <v>-566702</v>
      </c>
      <c r="K16" s="27">
        <f>Table113[[#This Row],[Eelarve 23.09.2025 seisuga ]]+Table113[[#This Row],[Muudatused]]</f>
        <v>9.9999999976716936E-2</v>
      </c>
      <c r="L16" s="46" t="s">
        <v>362</v>
      </c>
    </row>
    <row r="17" spans="1:12" x14ac:dyDescent="0.3">
      <c r="A17" s="21" t="s">
        <v>29</v>
      </c>
      <c r="B17" s="7" t="s">
        <v>191</v>
      </c>
      <c r="C17" s="7" t="s">
        <v>30</v>
      </c>
      <c r="D17" s="7" t="s">
        <v>194</v>
      </c>
      <c r="E17" s="7" t="s">
        <v>193</v>
      </c>
      <c r="F17" s="7"/>
      <c r="G17" s="7" t="s">
        <v>12</v>
      </c>
      <c r="H17" s="7" t="s">
        <v>72</v>
      </c>
      <c r="I17" s="8">
        <v>80520.100000000006</v>
      </c>
      <c r="J17" s="27">
        <v>-80520</v>
      </c>
      <c r="K17" s="27">
        <f>Table113[[#This Row],[Eelarve 23.09.2025 seisuga ]]+Table113[[#This Row],[Muudatused]]</f>
        <v>0.10000000000582077</v>
      </c>
      <c r="L17" s="46" t="s">
        <v>362</v>
      </c>
    </row>
    <row r="18" spans="1:12" x14ac:dyDescent="0.3">
      <c r="A18" s="21" t="s">
        <v>196</v>
      </c>
      <c r="B18" s="7" t="s">
        <v>191</v>
      </c>
      <c r="C18" s="7" t="s">
        <v>30</v>
      </c>
      <c r="D18" s="7" t="s">
        <v>197</v>
      </c>
      <c r="E18" s="7" t="s">
        <v>193</v>
      </c>
      <c r="F18" s="7"/>
      <c r="G18" s="7" t="s">
        <v>12</v>
      </c>
      <c r="H18" s="7" t="s">
        <v>72</v>
      </c>
      <c r="I18" s="8">
        <v>617654</v>
      </c>
      <c r="J18" s="27">
        <v>-617654</v>
      </c>
      <c r="K18" s="27">
        <f>Table113[[#This Row],[Eelarve 23.09.2025 seisuga ]]+Table113[[#This Row],[Muudatused]]</f>
        <v>0</v>
      </c>
      <c r="L18" s="46" t="s">
        <v>362</v>
      </c>
    </row>
    <row r="19" spans="1:12" ht="26" x14ac:dyDescent="0.3">
      <c r="A19" s="21" t="s">
        <v>33</v>
      </c>
      <c r="B19" s="7" t="s">
        <v>191</v>
      </c>
      <c r="C19" s="7" t="s">
        <v>34</v>
      </c>
      <c r="D19" s="7" t="s">
        <v>18</v>
      </c>
      <c r="E19" s="7" t="s">
        <v>201</v>
      </c>
      <c r="F19" s="7"/>
      <c r="G19" s="7" t="s">
        <v>12</v>
      </c>
      <c r="H19" s="7" t="s">
        <v>72</v>
      </c>
      <c r="I19" s="8">
        <v>1323943</v>
      </c>
      <c r="J19" s="27">
        <v>-1323943</v>
      </c>
      <c r="K19" s="27">
        <f>Table113[[#This Row],[Eelarve 23.09.2025 seisuga ]]+Table113[[#This Row],[Muudatused]]</f>
        <v>0</v>
      </c>
      <c r="L19" s="44" t="s">
        <v>363</v>
      </c>
    </row>
    <row r="20" spans="1:12" x14ac:dyDescent="0.3">
      <c r="A20" s="21" t="s">
        <v>29</v>
      </c>
      <c r="B20" s="7" t="s">
        <v>191</v>
      </c>
      <c r="C20" s="7" t="s">
        <v>30</v>
      </c>
      <c r="D20" s="7" t="s">
        <v>31</v>
      </c>
      <c r="E20" s="7" t="s">
        <v>195</v>
      </c>
      <c r="F20" s="7"/>
      <c r="G20" s="7" t="s">
        <v>12</v>
      </c>
      <c r="H20" s="7" t="s">
        <v>72</v>
      </c>
      <c r="I20" s="8">
        <v>808198.1</v>
      </c>
      <c r="J20" s="27">
        <v>-808198</v>
      </c>
      <c r="K20" s="27">
        <f>Table113[[#This Row],[Eelarve 23.09.2025 seisuga ]]+Table113[[#This Row],[Muudatused]]</f>
        <v>9.9999999976716936E-2</v>
      </c>
      <c r="L20" s="40" t="s">
        <v>364</v>
      </c>
    </row>
    <row r="21" spans="1:12" ht="28" customHeight="1" x14ac:dyDescent="0.3">
      <c r="A21" s="59" t="s">
        <v>198</v>
      </c>
      <c r="B21" s="7" t="s">
        <v>191</v>
      </c>
      <c r="C21" s="7" t="s">
        <v>30</v>
      </c>
      <c r="D21" s="7" t="s">
        <v>194</v>
      </c>
      <c r="E21" s="7" t="s">
        <v>199</v>
      </c>
      <c r="F21" s="7"/>
      <c r="G21" s="7" t="s">
        <v>12</v>
      </c>
      <c r="H21" s="7" t="s">
        <v>72</v>
      </c>
      <c r="I21" s="8">
        <v>26780</v>
      </c>
      <c r="J21" s="27">
        <v>-26780</v>
      </c>
      <c r="K21" s="27">
        <f>Table113[[#This Row],[Eelarve 23.09.2025 seisuga ]]+Table113[[#This Row],[Muudatused]]</f>
        <v>0</v>
      </c>
      <c r="L21" s="40" t="s">
        <v>365</v>
      </c>
    </row>
    <row r="22" spans="1:12" ht="26" x14ac:dyDescent="0.3">
      <c r="A22" s="21" t="s">
        <v>33</v>
      </c>
      <c r="B22" s="7" t="s">
        <v>191</v>
      </c>
      <c r="C22" s="7" t="s">
        <v>34</v>
      </c>
      <c r="D22" s="7" t="s">
        <v>18</v>
      </c>
      <c r="E22" s="7" t="s">
        <v>202</v>
      </c>
      <c r="F22" s="7"/>
      <c r="G22" s="7" t="s">
        <v>12</v>
      </c>
      <c r="H22" s="7" t="s">
        <v>72</v>
      </c>
      <c r="I22" s="8">
        <v>142310</v>
      </c>
      <c r="J22" s="27">
        <v>-142310</v>
      </c>
      <c r="K22" s="47">
        <f>Table113[[#This Row],[Eelarve 23.09.2025 seisuga ]]+Table113[[#This Row],[Muudatused]]</f>
        <v>0</v>
      </c>
      <c r="L22" s="44" t="s">
        <v>366</v>
      </c>
    </row>
    <row r="23" spans="1:12" ht="26" x14ac:dyDescent="0.3">
      <c r="A23" s="22" t="s">
        <v>33</v>
      </c>
      <c r="B23" s="19" t="s">
        <v>191</v>
      </c>
      <c r="C23" s="19" t="s">
        <v>34</v>
      </c>
      <c r="D23" s="19" t="s">
        <v>18</v>
      </c>
      <c r="E23" s="19" t="s">
        <v>203</v>
      </c>
      <c r="F23" s="19"/>
      <c r="G23" s="19" t="s">
        <v>12</v>
      </c>
      <c r="H23" s="19" t="s">
        <v>72</v>
      </c>
      <c r="I23" s="20">
        <v>352000.1</v>
      </c>
      <c r="J23" s="28">
        <f t="shared" ref="J23" si="0">-247535-104465</f>
        <v>-352000</v>
      </c>
      <c r="K23" s="28">
        <f>Table113[[#This Row],[Eelarve 23.09.2025 seisuga ]]+Table113[[#This Row],[Muudatused]]</f>
        <v>9.9999999976716936E-2</v>
      </c>
      <c r="L23" s="45" t="s">
        <v>360</v>
      </c>
    </row>
    <row r="24" spans="1:12" x14ac:dyDescent="0.3">
      <c r="A24" s="22"/>
      <c r="B24" s="19"/>
      <c r="C24" s="19"/>
      <c r="D24" s="19"/>
      <c r="E24" s="19"/>
      <c r="F24" s="19"/>
      <c r="G24" s="19"/>
      <c r="H24" s="19"/>
      <c r="I24" s="8">
        <f>SUBTOTAL(109,Table113[Eelarve 23.09.2025 seisuga ])</f>
        <v>18508617.900000002</v>
      </c>
      <c r="J24" s="8">
        <f>SUBTOTAL(109,Table113[Muudatused])</f>
        <v>-5093494</v>
      </c>
      <c r="K24" s="8">
        <f>SUBTOTAL(109,Table113[Eelarve])</f>
        <v>13415123.899999999</v>
      </c>
      <c r="L24" s="45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6A588-97C9-4D17-ABCC-0D6EC0ADF99F}">
  <dimension ref="A1:L12"/>
  <sheetViews>
    <sheetView workbookViewId="0">
      <selection activeCell="A2" sqref="A2"/>
    </sheetView>
  </sheetViews>
  <sheetFormatPr defaultColWidth="8.81640625" defaultRowHeight="13" x14ac:dyDescent="0.3"/>
  <cols>
    <col min="1" max="1" width="19.90625" style="2" bestFit="1" customWidth="1"/>
    <col min="2" max="2" width="13.1796875" style="2" bestFit="1" customWidth="1"/>
    <col min="3" max="3" width="12.81640625" style="2" bestFit="1" customWidth="1"/>
    <col min="4" max="4" width="10.90625" style="2" bestFit="1" customWidth="1"/>
    <col min="5" max="5" width="13.81640625" style="2" bestFit="1" customWidth="1"/>
    <col min="6" max="6" width="17.1796875" style="2" bestFit="1" customWidth="1"/>
    <col min="7" max="7" width="12.81640625" style="2" bestFit="1" customWidth="1"/>
    <col min="8" max="8" width="13.1796875" style="2" bestFit="1" customWidth="1"/>
    <col min="9" max="9" width="12.453125" style="2" bestFit="1" customWidth="1"/>
    <col min="10" max="11" width="12.453125" style="2" customWidth="1"/>
    <col min="12" max="12" width="46.36328125" style="31" bestFit="1" customWidth="1"/>
    <col min="13" max="16384" width="8.81640625" style="2"/>
  </cols>
  <sheetData>
    <row r="1" spans="1:12" x14ac:dyDescent="0.3">
      <c r="A1" s="12" t="s">
        <v>298</v>
      </c>
      <c r="L1" s="30" t="s">
        <v>299</v>
      </c>
    </row>
    <row r="2" spans="1:12" s="14" customFormat="1" ht="39" x14ac:dyDescent="0.35">
      <c r="A2" s="15" t="s">
        <v>0</v>
      </c>
      <c r="B2" s="16" t="s">
        <v>1</v>
      </c>
      <c r="C2" s="16" t="s">
        <v>119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396</v>
      </c>
      <c r="J2" s="16" t="s">
        <v>397</v>
      </c>
      <c r="K2" s="16" t="s">
        <v>398</v>
      </c>
      <c r="L2" s="55" t="s">
        <v>147</v>
      </c>
    </row>
    <row r="3" spans="1:12" x14ac:dyDescent="0.3">
      <c r="A3" s="1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23</v>
      </c>
      <c r="H3" s="7" t="s">
        <v>24</v>
      </c>
      <c r="I3" s="8">
        <v>2287</v>
      </c>
      <c r="J3" s="8"/>
      <c r="K3" s="8">
        <f>Table118[[#This Row],[Eelarve 23.09.2025 seisuga ]]+Table118[[#This Row],[Muudatused]]</f>
        <v>2287</v>
      </c>
      <c r="L3" s="38" t="s">
        <v>115</v>
      </c>
    </row>
    <row r="4" spans="1:12" x14ac:dyDescent="0.3">
      <c r="A4" s="17" t="s">
        <v>41</v>
      </c>
      <c r="B4" s="7" t="s">
        <v>39</v>
      </c>
      <c r="C4" s="7" t="s">
        <v>42</v>
      </c>
      <c r="D4" s="7" t="s">
        <v>18</v>
      </c>
      <c r="E4" s="7"/>
      <c r="F4" s="7"/>
      <c r="G4" s="7" t="s">
        <v>23</v>
      </c>
      <c r="H4" s="7" t="s">
        <v>24</v>
      </c>
      <c r="I4" s="8">
        <v>3637</v>
      </c>
      <c r="J4" s="8"/>
      <c r="K4" s="8">
        <f>Table118[[#This Row],[Eelarve 23.09.2025 seisuga ]]+Table118[[#This Row],[Muudatused]]</f>
        <v>3637</v>
      </c>
      <c r="L4" s="38" t="s">
        <v>134</v>
      </c>
    </row>
    <row r="5" spans="1:12" x14ac:dyDescent="0.3">
      <c r="A5" s="17" t="s">
        <v>285</v>
      </c>
      <c r="B5" s="7" t="s">
        <v>16</v>
      </c>
      <c r="C5" s="7" t="s">
        <v>286</v>
      </c>
      <c r="D5" s="7" t="s">
        <v>18</v>
      </c>
      <c r="E5" s="7" t="s">
        <v>206</v>
      </c>
      <c r="F5" s="7"/>
      <c r="G5" s="7" t="s">
        <v>23</v>
      </c>
      <c r="H5" s="7" t="s">
        <v>24</v>
      </c>
      <c r="I5" s="8">
        <v>10000</v>
      </c>
      <c r="J5" s="27"/>
      <c r="K5" s="27">
        <f>Table118[[#This Row],[Eelarve 23.09.2025 seisuga ]]+Table118[[#This Row],[Muudatused]]</f>
        <v>10000</v>
      </c>
      <c r="L5" s="40" t="s">
        <v>323</v>
      </c>
    </row>
    <row r="6" spans="1:12" x14ac:dyDescent="0.3">
      <c r="A6" s="17" t="s">
        <v>285</v>
      </c>
      <c r="B6" s="7" t="s">
        <v>16</v>
      </c>
      <c r="C6" s="7" t="s">
        <v>286</v>
      </c>
      <c r="D6" s="7" t="s">
        <v>18</v>
      </c>
      <c r="E6" s="7" t="s">
        <v>204</v>
      </c>
      <c r="F6" s="7"/>
      <c r="G6" s="7" t="s">
        <v>23</v>
      </c>
      <c r="H6" s="7" t="s">
        <v>24</v>
      </c>
      <c r="I6" s="8">
        <v>8530</v>
      </c>
      <c r="J6" s="27"/>
      <c r="K6" s="27">
        <f>Table118[[#This Row],[Eelarve 23.09.2025 seisuga ]]+Table118[[#This Row],[Muudatused]]</f>
        <v>8530</v>
      </c>
      <c r="L6" s="40" t="s">
        <v>20</v>
      </c>
    </row>
    <row r="7" spans="1:12" x14ac:dyDescent="0.3">
      <c r="A7" s="17" t="s">
        <v>285</v>
      </c>
      <c r="B7" s="7" t="s">
        <v>16</v>
      </c>
      <c r="C7" s="7" t="s">
        <v>286</v>
      </c>
      <c r="D7" s="7" t="s">
        <v>18</v>
      </c>
      <c r="E7" s="7" t="s">
        <v>205</v>
      </c>
      <c r="F7" s="7"/>
      <c r="G7" s="7" t="s">
        <v>23</v>
      </c>
      <c r="H7" s="7" t="s">
        <v>24</v>
      </c>
      <c r="I7" s="8">
        <v>50000</v>
      </c>
      <c r="J7" s="27"/>
      <c r="K7" s="27">
        <f>Table118[[#This Row],[Eelarve 23.09.2025 seisuga ]]+Table118[[#This Row],[Muudatused]]</f>
        <v>50000</v>
      </c>
      <c r="L7" s="40"/>
    </row>
    <row r="8" spans="1:12" x14ac:dyDescent="0.3">
      <c r="A8" s="17" t="s">
        <v>47</v>
      </c>
      <c r="B8" s="7" t="s">
        <v>16</v>
      </c>
      <c r="C8" s="7" t="s">
        <v>9</v>
      </c>
      <c r="D8" s="7" t="s">
        <v>18</v>
      </c>
      <c r="E8" s="7" t="s">
        <v>207</v>
      </c>
      <c r="F8" s="7"/>
      <c r="G8" s="7" t="s">
        <v>23</v>
      </c>
      <c r="H8" s="7" t="s">
        <v>24</v>
      </c>
      <c r="I8" s="8">
        <v>32000.1</v>
      </c>
      <c r="J8" s="8"/>
      <c r="K8" s="8">
        <f>Table118[[#This Row],[Eelarve 23.09.2025 seisuga ]]+Table118[[#This Row],[Muudatused]]</f>
        <v>32000.1</v>
      </c>
      <c r="L8" s="38" t="s">
        <v>116</v>
      </c>
    </row>
    <row r="9" spans="1:12" ht="26" x14ac:dyDescent="0.3">
      <c r="A9" s="17" t="s">
        <v>29</v>
      </c>
      <c r="B9" s="7" t="s">
        <v>8</v>
      </c>
      <c r="C9" s="7" t="s">
        <v>30</v>
      </c>
      <c r="D9" s="7" t="s">
        <v>55</v>
      </c>
      <c r="E9" s="7" t="s">
        <v>20</v>
      </c>
      <c r="F9" s="7" t="s">
        <v>208</v>
      </c>
      <c r="G9" s="7" t="s">
        <v>23</v>
      </c>
      <c r="H9" s="7" t="s">
        <v>24</v>
      </c>
      <c r="I9" s="8">
        <v>0</v>
      </c>
      <c r="J9" s="27"/>
      <c r="K9" s="27">
        <f>Table118[[#This Row],[Eelarve 23.09.2025 seisuga ]]+Table118[[#This Row],[Muudatused]]</f>
        <v>0</v>
      </c>
      <c r="L9" s="40" t="s">
        <v>324</v>
      </c>
    </row>
    <row r="10" spans="1:12" x14ac:dyDescent="0.3">
      <c r="A10" s="17" t="s">
        <v>33</v>
      </c>
      <c r="B10" s="7" t="s">
        <v>8</v>
      </c>
      <c r="C10" s="7" t="s">
        <v>34</v>
      </c>
      <c r="D10" s="7" t="s">
        <v>10</v>
      </c>
      <c r="E10" s="7" t="s">
        <v>20</v>
      </c>
      <c r="F10" s="7" t="s">
        <v>208</v>
      </c>
      <c r="G10" s="7" t="s">
        <v>23</v>
      </c>
      <c r="H10" s="7" t="s">
        <v>24</v>
      </c>
      <c r="I10" s="8">
        <v>11000</v>
      </c>
      <c r="J10" s="27"/>
      <c r="K10" s="27">
        <f>Table118[[#This Row],[Eelarve 23.09.2025 seisuga ]]+Table118[[#This Row],[Muudatused]]</f>
        <v>11000</v>
      </c>
      <c r="L10" s="40" t="s">
        <v>209</v>
      </c>
    </row>
    <row r="11" spans="1:12" x14ac:dyDescent="0.3">
      <c r="A11" s="18" t="s">
        <v>7</v>
      </c>
      <c r="B11" s="19" t="s">
        <v>8</v>
      </c>
      <c r="C11" s="19" t="s">
        <v>9</v>
      </c>
      <c r="D11" s="19" t="s">
        <v>10</v>
      </c>
      <c r="E11" s="19" t="s">
        <v>20</v>
      </c>
      <c r="F11" s="19" t="s">
        <v>208</v>
      </c>
      <c r="G11" s="19" t="s">
        <v>23</v>
      </c>
      <c r="H11" s="19" t="s">
        <v>24</v>
      </c>
      <c r="I11" s="20">
        <v>61500</v>
      </c>
      <c r="J11" s="28"/>
      <c r="K11" s="28">
        <f>Table118[[#This Row],[Eelarve 23.09.2025 seisuga ]]+Table118[[#This Row],[Muudatused]]</f>
        <v>61500</v>
      </c>
      <c r="L11" s="45" t="s">
        <v>209</v>
      </c>
    </row>
    <row r="12" spans="1:12" x14ac:dyDescent="0.3">
      <c r="A12" s="18"/>
      <c r="B12" s="19"/>
      <c r="C12" s="19"/>
      <c r="D12" s="19"/>
      <c r="E12" s="19"/>
      <c r="F12" s="19"/>
      <c r="G12" s="19"/>
      <c r="H12" s="19"/>
      <c r="I12" s="8">
        <f>SUBTOTAL(109,Table118[Eelarve 23.09.2025 seisuga ])</f>
        <v>178954.1</v>
      </c>
      <c r="J12" s="8">
        <f>SUBTOTAL(109,Table118[Muudatused])</f>
        <v>0</v>
      </c>
      <c r="K12" s="8">
        <f>SUBTOTAL(109,Table118[Eelarve])</f>
        <v>178954.1</v>
      </c>
      <c r="L12" s="45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882A-F213-4233-B73B-88934B9B4725}">
  <dimension ref="A1:L13"/>
  <sheetViews>
    <sheetView workbookViewId="0">
      <selection activeCell="A2" sqref="A2"/>
    </sheetView>
  </sheetViews>
  <sheetFormatPr defaultColWidth="8.81640625" defaultRowHeight="13" x14ac:dyDescent="0.3"/>
  <cols>
    <col min="1" max="1" width="13.453125" style="2" customWidth="1"/>
    <col min="2" max="2" width="13.1796875" style="2" bestFit="1" customWidth="1"/>
    <col min="3" max="3" width="10.81640625" style="2" customWidth="1"/>
    <col min="4" max="4" width="11.1796875" style="2" customWidth="1"/>
    <col min="5" max="5" width="14.54296875" style="2" customWidth="1"/>
    <col min="6" max="6" width="15.6328125" style="2" bestFit="1" customWidth="1"/>
    <col min="7" max="7" width="10.1796875" style="2" customWidth="1"/>
    <col min="8" max="8" width="13.1796875" style="2" bestFit="1" customWidth="1"/>
    <col min="9" max="11" width="11.08984375" style="2" customWidth="1"/>
    <col min="12" max="12" width="59" style="31" bestFit="1" customWidth="1"/>
    <col min="13" max="16384" width="8.81640625" style="2"/>
  </cols>
  <sheetData>
    <row r="1" spans="1:12" x14ac:dyDescent="0.3">
      <c r="A1" s="12" t="s">
        <v>300</v>
      </c>
      <c r="L1" s="30" t="s">
        <v>301</v>
      </c>
    </row>
    <row r="2" spans="1:12" s="14" customFormat="1" ht="39" x14ac:dyDescent="0.35">
      <c r="A2" s="15" t="s">
        <v>0</v>
      </c>
      <c r="B2" s="16" t="s">
        <v>1</v>
      </c>
      <c r="C2" s="16" t="s">
        <v>119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396</v>
      </c>
      <c r="J2" s="16" t="s">
        <v>397</v>
      </c>
      <c r="K2" s="16" t="s">
        <v>398</v>
      </c>
      <c r="L2" s="54" t="s">
        <v>147</v>
      </c>
    </row>
    <row r="3" spans="1:12" x14ac:dyDescent="0.3">
      <c r="A3" s="1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210</v>
      </c>
      <c r="I3" s="8">
        <v>616</v>
      </c>
      <c r="J3" s="8"/>
      <c r="K3" s="8">
        <f>Table119[[#This Row],[Eelarve 23.09.2025 seisuga ]]+Table119[[#This Row],[Muudatused]]</f>
        <v>616</v>
      </c>
      <c r="L3" s="38" t="s">
        <v>115</v>
      </c>
    </row>
    <row r="4" spans="1:12" x14ac:dyDescent="0.3">
      <c r="A4" s="17" t="s">
        <v>41</v>
      </c>
      <c r="B4" s="7" t="s">
        <v>39</v>
      </c>
      <c r="C4" s="7" t="s">
        <v>42</v>
      </c>
      <c r="D4" s="7" t="s">
        <v>18</v>
      </c>
      <c r="E4" s="7"/>
      <c r="F4" s="7"/>
      <c r="G4" s="7" t="s">
        <v>12</v>
      </c>
      <c r="H4" s="7" t="s">
        <v>210</v>
      </c>
      <c r="I4" s="8">
        <v>808</v>
      </c>
      <c r="J4" s="8"/>
      <c r="K4" s="8">
        <f>Table119[[#This Row],[Eelarve 23.09.2025 seisuga ]]+Table119[[#This Row],[Muudatused]]</f>
        <v>808</v>
      </c>
      <c r="L4" s="38" t="s">
        <v>134</v>
      </c>
    </row>
    <row r="5" spans="1:12" x14ac:dyDescent="0.3">
      <c r="A5" s="17" t="s">
        <v>47</v>
      </c>
      <c r="B5" s="7" t="s">
        <v>16</v>
      </c>
      <c r="C5" s="7" t="s">
        <v>9</v>
      </c>
      <c r="D5" s="7" t="s">
        <v>18</v>
      </c>
      <c r="E5" s="7" t="s">
        <v>211</v>
      </c>
      <c r="F5" s="7"/>
      <c r="G5" s="7" t="s">
        <v>12</v>
      </c>
      <c r="H5" s="7" t="s">
        <v>210</v>
      </c>
      <c r="I5" s="8">
        <v>7000.1</v>
      </c>
      <c r="J5" s="8"/>
      <c r="K5" s="8">
        <f>Table119[[#This Row],[Eelarve 23.09.2025 seisuga ]]+Table119[[#This Row],[Muudatused]]</f>
        <v>7000.1</v>
      </c>
      <c r="L5" s="38" t="s">
        <v>116</v>
      </c>
    </row>
    <row r="6" spans="1:12" x14ac:dyDescent="0.3">
      <c r="A6" s="17" t="s">
        <v>57</v>
      </c>
      <c r="B6" s="7" t="s">
        <v>36</v>
      </c>
      <c r="C6" s="7" t="s">
        <v>58</v>
      </c>
      <c r="D6" s="7" t="s">
        <v>18</v>
      </c>
      <c r="E6" s="7" t="s">
        <v>20</v>
      </c>
      <c r="F6" s="7"/>
      <c r="G6" s="7" t="s">
        <v>12</v>
      </c>
      <c r="H6" s="7" t="s">
        <v>210</v>
      </c>
      <c r="I6" s="8">
        <v>1937</v>
      </c>
      <c r="J6" s="27"/>
      <c r="K6" s="27">
        <f>Table119[[#This Row],[Eelarve 23.09.2025 seisuga ]]+Table119[[#This Row],[Muudatused]]</f>
        <v>1937</v>
      </c>
      <c r="L6" s="40" t="s">
        <v>20</v>
      </c>
    </row>
    <row r="7" spans="1:12" ht="26" x14ac:dyDescent="0.3">
      <c r="A7" s="17" t="s">
        <v>33</v>
      </c>
      <c r="B7" s="7" t="s">
        <v>8</v>
      </c>
      <c r="C7" s="7" t="s">
        <v>34</v>
      </c>
      <c r="D7" s="7" t="s">
        <v>10</v>
      </c>
      <c r="E7" s="7" t="s">
        <v>20</v>
      </c>
      <c r="F7" s="7" t="s">
        <v>212</v>
      </c>
      <c r="G7" s="7" t="s">
        <v>20</v>
      </c>
      <c r="H7" s="7" t="s">
        <v>210</v>
      </c>
      <c r="I7" s="8">
        <v>8969</v>
      </c>
      <c r="J7" s="27"/>
      <c r="K7" s="27">
        <f>Table119[[#This Row],[Eelarve 23.09.2025 seisuga ]]+Table119[[#This Row],[Muudatused]]</f>
        <v>8969</v>
      </c>
      <c r="L7" s="40" t="s">
        <v>217</v>
      </c>
    </row>
    <row r="8" spans="1:12" ht="26" x14ac:dyDescent="0.3">
      <c r="A8" s="17" t="s">
        <v>7</v>
      </c>
      <c r="B8" s="7" t="s">
        <v>8</v>
      </c>
      <c r="C8" s="7" t="s">
        <v>9</v>
      </c>
      <c r="D8" s="7" t="s">
        <v>10</v>
      </c>
      <c r="E8" s="7" t="s">
        <v>20</v>
      </c>
      <c r="F8" s="7" t="s">
        <v>212</v>
      </c>
      <c r="G8" s="7" t="s">
        <v>20</v>
      </c>
      <c r="H8" s="7" t="s">
        <v>210</v>
      </c>
      <c r="I8" s="8">
        <v>27137</v>
      </c>
      <c r="J8" s="27">
        <v>7972</v>
      </c>
      <c r="K8" s="27">
        <f>Table119[[#This Row],[Eelarve 23.09.2025 seisuga ]]+Table119[[#This Row],[Muudatused]]</f>
        <v>35109</v>
      </c>
      <c r="L8" s="40" t="s">
        <v>374</v>
      </c>
    </row>
    <row r="9" spans="1:12" x14ac:dyDescent="0.3">
      <c r="A9" s="17" t="s">
        <v>33</v>
      </c>
      <c r="B9" s="7" t="s">
        <v>8</v>
      </c>
      <c r="C9" s="7" t="s">
        <v>34</v>
      </c>
      <c r="D9" s="7" t="s">
        <v>10</v>
      </c>
      <c r="E9" s="7" t="s">
        <v>20</v>
      </c>
      <c r="F9" s="7" t="s">
        <v>213</v>
      </c>
      <c r="G9" s="7" t="s">
        <v>20</v>
      </c>
      <c r="H9" s="7" t="s">
        <v>210</v>
      </c>
      <c r="I9" s="8">
        <v>14402</v>
      </c>
      <c r="J9" s="27"/>
      <c r="K9" s="27">
        <f>Table119[[#This Row],[Eelarve 23.09.2025 seisuga ]]+Table119[[#This Row],[Muudatused]]</f>
        <v>14402</v>
      </c>
      <c r="L9" s="40" t="s">
        <v>214</v>
      </c>
    </row>
    <row r="10" spans="1:12" ht="26" x14ac:dyDescent="0.3">
      <c r="A10" s="17" t="s">
        <v>7</v>
      </c>
      <c r="B10" s="7" t="s">
        <v>8</v>
      </c>
      <c r="C10" s="7" t="s">
        <v>9</v>
      </c>
      <c r="D10" s="7" t="s">
        <v>10</v>
      </c>
      <c r="E10" s="7" t="s">
        <v>20</v>
      </c>
      <c r="F10" s="7" t="s">
        <v>213</v>
      </c>
      <c r="G10" s="7" t="s">
        <v>20</v>
      </c>
      <c r="H10" s="7" t="s">
        <v>210</v>
      </c>
      <c r="I10" s="8">
        <v>43575</v>
      </c>
      <c r="J10" s="27">
        <v>6177</v>
      </c>
      <c r="K10" s="27">
        <f>Table119[[#This Row],[Eelarve 23.09.2025 seisuga ]]+Table119[[#This Row],[Muudatused]]</f>
        <v>49752</v>
      </c>
      <c r="L10" s="40" t="s">
        <v>375</v>
      </c>
    </row>
    <row r="11" spans="1:12" ht="26" x14ac:dyDescent="0.3">
      <c r="A11" s="17" t="s">
        <v>33</v>
      </c>
      <c r="B11" s="7" t="s">
        <v>8</v>
      </c>
      <c r="C11" s="7" t="s">
        <v>34</v>
      </c>
      <c r="D11" s="7" t="s">
        <v>10</v>
      </c>
      <c r="E11" s="7" t="s">
        <v>20</v>
      </c>
      <c r="F11" s="7" t="s">
        <v>215</v>
      </c>
      <c r="G11" s="7" t="s">
        <v>20</v>
      </c>
      <c r="H11" s="7" t="s">
        <v>210</v>
      </c>
      <c r="I11" s="8">
        <v>11732</v>
      </c>
      <c r="J11" s="27"/>
      <c r="K11" s="27">
        <f>Table119[[#This Row],[Eelarve 23.09.2025 seisuga ]]+Table119[[#This Row],[Muudatused]]</f>
        <v>11732</v>
      </c>
      <c r="L11" s="40" t="s">
        <v>216</v>
      </c>
    </row>
    <row r="12" spans="1:12" ht="26" x14ac:dyDescent="0.3">
      <c r="A12" s="18" t="s">
        <v>7</v>
      </c>
      <c r="B12" s="19" t="s">
        <v>8</v>
      </c>
      <c r="C12" s="19" t="s">
        <v>9</v>
      </c>
      <c r="D12" s="19" t="s">
        <v>10</v>
      </c>
      <c r="E12" s="19" t="s">
        <v>20</v>
      </c>
      <c r="F12" s="19" t="s">
        <v>215</v>
      </c>
      <c r="G12" s="19" t="s">
        <v>20</v>
      </c>
      <c r="H12" s="19" t="s">
        <v>210</v>
      </c>
      <c r="I12" s="20">
        <v>35498</v>
      </c>
      <c r="J12" s="28">
        <v>6090</v>
      </c>
      <c r="K12" s="28">
        <f>Table119[[#This Row],[Eelarve 23.09.2025 seisuga ]]+Table119[[#This Row],[Muudatused]]</f>
        <v>41588</v>
      </c>
      <c r="L12" s="45" t="s">
        <v>376</v>
      </c>
    </row>
    <row r="13" spans="1:12" x14ac:dyDescent="0.3">
      <c r="A13" s="18"/>
      <c r="B13" s="19"/>
      <c r="C13" s="19"/>
      <c r="D13" s="19"/>
      <c r="E13" s="19"/>
      <c r="F13" s="19"/>
      <c r="G13" s="19"/>
      <c r="H13" s="19"/>
      <c r="I13" s="8">
        <f>SUBTOTAL(109,Table119[Eelarve 23.09.2025 seisuga ])</f>
        <v>151674.1</v>
      </c>
      <c r="J13" s="8">
        <f>SUBTOTAL(109,Table119[Muudatused])</f>
        <v>20239</v>
      </c>
      <c r="K13" s="8">
        <f>SUBTOTAL(109,Table119[Eelarve])</f>
        <v>171913.1</v>
      </c>
      <c r="L13" s="45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0C5A-69CB-4E49-9757-95000CB5CD6B}">
  <dimension ref="A1:L6"/>
  <sheetViews>
    <sheetView workbookViewId="0">
      <selection activeCell="A2" sqref="A2"/>
    </sheetView>
  </sheetViews>
  <sheetFormatPr defaultColWidth="8.81640625" defaultRowHeight="13" x14ac:dyDescent="0.3"/>
  <cols>
    <col min="1" max="1" width="18.1796875" style="2" bestFit="1" customWidth="1"/>
    <col min="2" max="2" width="13.1796875" style="2" bestFit="1" customWidth="1"/>
    <col min="3" max="3" width="12.81640625" style="2" bestFit="1" customWidth="1"/>
    <col min="4" max="5" width="10.90625" style="2" bestFit="1" customWidth="1"/>
    <col min="6" max="6" width="9.81640625" style="2" bestFit="1" customWidth="1"/>
    <col min="7" max="7" width="12.81640625" style="2" bestFit="1" customWidth="1"/>
    <col min="8" max="8" width="13.1796875" style="2" bestFit="1" customWidth="1"/>
    <col min="9" max="9" width="12.453125" style="2" bestFit="1" customWidth="1"/>
    <col min="10" max="11" width="12.453125" style="2" customWidth="1"/>
    <col min="12" max="12" width="31.08984375" style="31" customWidth="1"/>
    <col min="13" max="16384" width="8.81640625" style="2"/>
  </cols>
  <sheetData>
    <row r="1" spans="1:12" x14ac:dyDescent="0.3">
      <c r="A1" s="12" t="s">
        <v>302</v>
      </c>
      <c r="L1" s="30" t="s">
        <v>303</v>
      </c>
    </row>
    <row r="2" spans="1:12" s="14" customFormat="1" ht="39" x14ac:dyDescent="0.35">
      <c r="A2" s="15" t="s">
        <v>0</v>
      </c>
      <c r="B2" s="16" t="s">
        <v>1</v>
      </c>
      <c r="C2" s="16" t="s">
        <v>119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396</v>
      </c>
      <c r="J2" s="16" t="s">
        <v>397</v>
      </c>
      <c r="K2" s="16" t="s">
        <v>398</v>
      </c>
      <c r="L2" s="54" t="s">
        <v>147</v>
      </c>
    </row>
    <row r="3" spans="1:12" ht="26" x14ac:dyDescent="0.3">
      <c r="A3" s="1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218</v>
      </c>
      <c r="I3" s="8">
        <v>631</v>
      </c>
      <c r="J3" s="8"/>
      <c r="K3" s="8">
        <f>Table120[[#This Row],[Eelarve 23.09.2025 seisuga ]]+Table120[[#This Row],[Muudatused]]</f>
        <v>631</v>
      </c>
      <c r="L3" s="5" t="s">
        <v>325</v>
      </c>
    </row>
    <row r="4" spans="1:12" x14ac:dyDescent="0.3">
      <c r="A4" s="17" t="s">
        <v>79</v>
      </c>
      <c r="B4" s="7" t="s">
        <v>39</v>
      </c>
      <c r="C4" s="7" t="s">
        <v>80</v>
      </c>
      <c r="D4" s="7" t="s">
        <v>18</v>
      </c>
      <c r="E4" s="7"/>
      <c r="F4" s="7"/>
      <c r="G4" s="7" t="s">
        <v>12</v>
      </c>
      <c r="H4" s="7" t="s">
        <v>218</v>
      </c>
      <c r="I4" s="8">
        <v>812</v>
      </c>
      <c r="J4" s="8"/>
      <c r="K4" s="8">
        <f>Table120[[#This Row],[Eelarve 23.09.2025 seisuga ]]+Table120[[#This Row],[Muudatused]]</f>
        <v>812</v>
      </c>
      <c r="L4" s="5" t="s">
        <v>326</v>
      </c>
    </row>
    <row r="5" spans="1:12" ht="52" x14ac:dyDescent="0.3">
      <c r="A5" s="18" t="s">
        <v>47</v>
      </c>
      <c r="B5" s="19" t="s">
        <v>16</v>
      </c>
      <c r="C5" s="19" t="s">
        <v>9</v>
      </c>
      <c r="D5" s="19" t="s">
        <v>18</v>
      </c>
      <c r="E5" s="19" t="s">
        <v>219</v>
      </c>
      <c r="F5" s="19"/>
      <c r="G5" s="19" t="s">
        <v>12</v>
      </c>
      <c r="H5" s="19" t="s">
        <v>218</v>
      </c>
      <c r="I5" s="20">
        <v>6200.1</v>
      </c>
      <c r="J5" s="20">
        <v>4000</v>
      </c>
      <c r="K5" s="20">
        <f>Table120[[#This Row],[Eelarve 23.09.2025 seisuga ]]+Table120[[#This Row],[Muudatused]]</f>
        <v>10200.1</v>
      </c>
      <c r="L5" s="5" t="s">
        <v>373</v>
      </c>
    </row>
    <row r="6" spans="1:12" x14ac:dyDescent="0.3">
      <c r="A6" s="18"/>
      <c r="B6" s="19"/>
      <c r="C6" s="19"/>
      <c r="D6" s="19"/>
      <c r="E6" s="19"/>
      <c r="F6" s="19"/>
      <c r="G6" s="19"/>
      <c r="H6" s="19"/>
      <c r="I6" s="8">
        <f>SUBTOTAL(109,Table120[Eelarve 23.09.2025 seisuga ])</f>
        <v>7643.1</v>
      </c>
      <c r="J6" s="8">
        <f>SUBTOTAL(109,Table120[Muudatused])</f>
        <v>4000</v>
      </c>
      <c r="K6" s="8">
        <f>SUBTOTAL(109,Table120[Eelarve])</f>
        <v>11643.1</v>
      </c>
      <c r="L6" s="45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BADB-0E8D-4540-B746-922A182F6695}">
  <dimension ref="A1:L6"/>
  <sheetViews>
    <sheetView workbookViewId="0">
      <selection activeCell="A2" sqref="A2"/>
    </sheetView>
  </sheetViews>
  <sheetFormatPr defaultColWidth="8.81640625" defaultRowHeight="13" x14ac:dyDescent="0.3"/>
  <cols>
    <col min="1" max="1" width="18.1796875" style="2" bestFit="1" customWidth="1"/>
    <col min="2" max="2" width="13.1796875" style="2" bestFit="1" customWidth="1"/>
    <col min="3" max="3" width="12.81640625" style="2" bestFit="1" customWidth="1"/>
    <col min="4" max="5" width="10.90625" style="2" bestFit="1" customWidth="1"/>
    <col min="6" max="6" width="9.81640625" style="2" bestFit="1" customWidth="1"/>
    <col min="7" max="7" width="12.81640625" style="2" bestFit="1" customWidth="1"/>
    <col min="8" max="8" width="13.1796875" style="2" bestFit="1" customWidth="1"/>
    <col min="9" max="9" width="12.453125" style="2" bestFit="1" customWidth="1"/>
    <col min="10" max="11" width="12.453125" style="2" customWidth="1"/>
    <col min="12" max="12" width="37.1796875" style="50" bestFit="1" customWidth="1"/>
    <col min="13" max="16384" width="8.81640625" style="2"/>
  </cols>
  <sheetData>
    <row r="1" spans="1:12" x14ac:dyDescent="0.3">
      <c r="A1" s="12" t="s">
        <v>304</v>
      </c>
      <c r="L1" s="48" t="s">
        <v>305</v>
      </c>
    </row>
    <row r="2" spans="1:12" s="14" customFormat="1" ht="39" x14ac:dyDescent="0.35">
      <c r="A2" s="15" t="s">
        <v>0</v>
      </c>
      <c r="B2" s="16" t="s">
        <v>1</v>
      </c>
      <c r="C2" s="16" t="s">
        <v>119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396</v>
      </c>
      <c r="J2" s="16" t="s">
        <v>397</v>
      </c>
      <c r="K2" s="16" t="s">
        <v>398</v>
      </c>
      <c r="L2" s="54" t="s">
        <v>147</v>
      </c>
    </row>
    <row r="3" spans="1:12" x14ac:dyDescent="0.3">
      <c r="A3" s="1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220</v>
      </c>
      <c r="I3" s="8">
        <v>616</v>
      </c>
      <c r="J3" s="8"/>
      <c r="K3" s="8">
        <f>Table122[[#This Row],[Eelarve 23.09.2025 seisuga ]]+Table122[[#This Row],[Muudatused]]</f>
        <v>616</v>
      </c>
      <c r="L3" s="38" t="s">
        <v>115</v>
      </c>
    </row>
    <row r="4" spans="1:12" x14ac:dyDescent="0.3">
      <c r="A4" s="17" t="s">
        <v>41</v>
      </c>
      <c r="B4" s="7" t="s">
        <v>39</v>
      </c>
      <c r="C4" s="7" t="s">
        <v>42</v>
      </c>
      <c r="D4" s="7" t="s">
        <v>18</v>
      </c>
      <c r="E4" s="7"/>
      <c r="F4" s="7"/>
      <c r="G4" s="7" t="s">
        <v>12</v>
      </c>
      <c r="H4" s="7" t="s">
        <v>220</v>
      </c>
      <c r="I4" s="8">
        <v>943</v>
      </c>
      <c r="J4" s="8"/>
      <c r="K4" s="8">
        <f>Table122[[#This Row],[Eelarve 23.09.2025 seisuga ]]+Table122[[#This Row],[Muudatused]]</f>
        <v>943</v>
      </c>
      <c r="L4" s="38" t="s">
        <v>134</v>
      </c>
    </row>
    <row r="5" spans="1:12" x14ac:dyDescent="0.3">
      <c r="A5" s="18" t="s">
        <v>47</v>
      </c>
      <c r="B5" s="19" t="s">
        <v>16</v>
      </c>
      <c r="C5" s="19" t="s">
        <v>9</v>
      </c>
      <c r="D5" s="19" t="s">
        <v>18</v>
      </c>
      <c r="E5" s="19" t="s">
        <v>221</v>
      </c>
      <c r="F5" s="19"/>
      <c r="G5" s="19" t="s">
        <v>12</v>
      </c>
      <c r="H5" s="19" t="s">
        <v>220</v>
      </c>
      <c r="I5" s="20">
        <v>8600.1</v>
      </c>
      <c r="J5" s="20"/>
      <c r="K5" s="20">
        <f>Table122[[#This Row],[Eelarve 23.09.2025 seisuga ]]+Table122[[#This Row],[Muudatused]]</f>
        <v>8600.1</v>
      </c>
      <c r="L5" s="38" t="s">
        <v>116</v>
      </c>
    </row>
    <row r="6" spans="1:12" x14ac:dyDescent="0.3">
      <c r="A6" s="18"/>
      <c r="B6" s="19"/>
      <c r="C6" s="19"/>
      <c r="D6" s="19"/>
      <c r="E6" s="19"/>
      <c r="F6" s="19"/>
      <c r="G6" s="19"/>
      <c r="H6" s="19"/>
      <c r="I6" s="8">
        <f>SUBTOTAL(109,Table122[Eelarve 23.09.2025 seisuga ])</f>
        <v>10159.1</v>
      </c>
      <c r="J6" s="8">
        <f>SUBTOTAL(109,Table122[Muudatused])</f>
        <v>0</v>
      </c>
      <c r="K6" s="8">
        <f>SUBTOTAL(109,Table122[Eelarve])</f>
        <v>10159.1</v>
      </c>
      <c r="L6" s="49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0F1A-3E87-4536-BD98-0B4C02086AB8}">
  <dimension ref="A1:L7"/>
  <sheetViews>
    <sheetView workbookViewId="0">
      <selection activeCell="A2" sqref="A2"/>
    </sheetView>
  </sheetViews>
  <sheetFormatPr defaultColWidth="8.81640625" defaultRowHeight="13" x14ac:dyDescent="0.3"/>
  <cols>
    <col min="1" max="1" width="13.453125" style="2" bestFit="1" customWidth="1"/>
    <col min="2" max="2" width="13.1796875" style="2" bestFit="1" customWidth="1"/>
    <col min="3" max="3" width="12.81640625" style="2" bestFit="1" customWidth="1"/>
    <col min="4" max="4" width="10.90625" style="2" bestFit="1" customWidth="1"/>
    <col min="5" max="5" width="13.453125" style="2" bestFit="1" customWidth="1"/>
    <col min="6" max="6" width="9.81640625" style="2" bestFit="1" customWidth="1"/>
    <col min="7" max="7" width="12.81640625" style="2" bestFit="1" customWidth="1"/>
    <col min="8" max="8" width="13.1796875" style="2" bestFit="1" customWidth="1"/>
    <col min="9" max="9" width="12.453125" style="2" bestFit="1" customWidth="1"/>
    <col min="10" max="11" width="12.453125" style="2" customWidth="1"/>
    <col min="12" max="12" width="23.81640625" style="31" bestFit="1" customWidth="1"/>
    <col min="13" max="16384" width="8.81640625" style="2"/>
  </cols>
  <sheetData>
    <row r="1" spans="1:12" x14ac:dyDescent="0.3">
      <c r="A1" s="12" t="s">
        <v>306</v>
      </c>
      <c r="L1" s="30" t="s">
        <v>307</v>
      </c>
    </row>
    <row r="2" spans="1:12" s="14" customFormat="1" ht="39" x14ac:dyDescent="0.35">
      <c r="A2" s="15" t="s">
        <v>0</v>
      </c>
      <c r="B2" s="16" t="s">
        <v>1</v>
      </c>
      <c r="C2" s="16" t="s">
        <v>119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396</v>
      </c>
      <c r="J2" s="16" t="s">
        <v>397</v>
      </c>
      <c r="K2" s="16" t="s">
        <v>398</v>
      </c>
      <c r="L2" s="54" t="s">
        <v>147</v>
      </c>
    </row>
    <row r="3" spans="1:12" ht="39" x14ac:dyDescent="0.3">
      <c r="A3" s="1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222</v>
      </c>
      <c r="I3" s="8">
        <v>11000</v>
      </c>
      <c r="J3" s="8"/>
      <c r="K3" s="8">
        <f>Table123[[#This Row],[Eelarve 23.09.2025 seisuga ]]+Table123[[#This Row],[Muudatused]]</f>
        <v>11000</v>
      </c>
      <c r="L3" s="5" t="s">
        <v>325</v>
      </c>
    </row>
    <row r="4" spans="1:12" x14ac:dyDescent="0.3">
      <c r="A4" s="17" t="s">
        <v>79</v>
      </c>
      <c r="B4" s="7" t="s">
        <v>39</v>
      </c>
      <c r="C4" s="7" t="s">
        <v>80</v>
      </c>
      <c r="D4" s="7" t="s">
        <v>18</v>
      </c>
      <c r="E4" s="7"/>
      <c r="F4" s="7"/>
      <c r="G4" s="7" t="s">
        <v>12</v>
      </c>
      <c r="H4" s="7" t="s">
        <v>222</v>
      </c>
      <c r="I4" s="8">
        <v>18719</v>
      </c>
      <c r="J4" s="8"/>
      <c r="K4" s="8">
        <f>Table123[[#This Row],[Eelarve 23.09.2025 seisuga ]]+Table123[[#This Row],[Muudatused]]</f>
        <v>18719</v>
      </c>
      <c r="L4" s="5" t="s">
        <v>326</v>
      </c>
    </row>
    <row r="5" spans="1:12" x14ac:dyDescent="0.3">
      <c r="A5" s="17" t="s">
        <v>33</v>
      </c>
      <c r="B5" s="7" t="s">
        <v>16</v>
      </c>
      <c r="C5" s="7" t="s">
        <v>34</v>
      </c>
      <c r="D5" s="7" t="s">
        <v>18</v>
      </c>
      <c r="E5" s="7" t="s">
        <v>223</v>
      </c>
      <c r="F5" s="7"/>
      <c r="G5" s="7" t="s">
        <v>12</v>
      </c>
      <c r="H5" s="7" t="s">
        <v>222</v>
      </c>
      <c r="I5" s="8">
        <v>5000</v>
      </c>
      <c r="J5" s="27"/>
      <c r="K5" s="27">
        <f>Table123[[#This Row],[Eelarve 23.09.2025 seisuga ]]+Table123[[#This Row],[Muudatused]]</f>
        <v>5000</v>
      </c>
      <c r="L5" s="40" t="s">
        <v>224</v>
      </c>
    </row>
    <row r="6" spans="1:12" ht="78" x14ac:dyDescent="0.3">
      <c r="A6" s="18" t="s">
        <v>47</v>
      </c>
      <c r="B6" s="19" t="s">
        <v>16</v>
      </c>
      <c r="C6" s="19" t="s">
        <v>9</v>
      </c>
      <c r="D6" s="19" t="s">
        <v>18</v>
      </c>
      <c r="E6" s="19" t="s">
        <v>225</v>
      </c>
      <c r="F6" s="19"/>
      <c r="G6" s="19" t="s">
        <v>12</v>
      </c>
      <c r="H6" s="19" t="s">
        <v>222</v>
      </c>
      <c r="I6" s="20">
        <v>17200.099999999999</v>
      </c>
      <c r="J6" s="20">
        <v>18143</v>
      </c>
      <c r="K6" s="20">
        <f>Table123[[#This Row],[Eelarve 23.09.2025 seisuga ]]+Table123[[#This Row],[Muudatused]]</f>
        <v>35343.1</v>
      </c>
      <c r="L6" s="32" t="s">
        <v>377</v>
      </c>
    </row>
    <row r="7" spans="1:12" x14ac:dyDescent="0.3">
      <c r="A7" s="18"/>
      <c r="B7" s="19"/>
      <c r="C7" s="19"/>
      <c r="D7" s="19"/>
      <c r="E7" s="19"/>
      <c r="F7" s="19"/>
      <c r="G7" s="19"/>
      <c r="H7" s="19"/>
      <c r="I7" s="8">
        <f>SUBTOTAL(109,Table123[Eelarve 23.09.2025 seisuga ])</f>
        <v>51919.1</v>
      </c>
      <c r="J7" s="8">
        <f>SUBTOTAL(109,Table123[Muudatused])</f>
        <v>18143</v>
      </c>
      <c r="K7" s="8">
        <f>SUBTOTAL(109,Table123[Eelarve])</f>
        <v>70062.100000000006</v>
      </c>
      <c r="L7" s="45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3801-9F8D-4B30-B23D-18BC904006D8}">
  <dimension ref="A1:L12"/>
  <sheetViews>
    <sheetView workbookViewId="0">
      <selection activeCell="A2" sqref="A2:L2"/>
    </sheetView>
  </sheetViews>
  <sheetFormatPr defaultColWidth="8.81640625" defaultRowHeight="13" x14ac:dyDescent="0.3"/>
  <cols>
    <col min="1" max="1" width="19.90625" style="2" bestFit="1" customWidth="1"/>
    <col min="2" max="2" width="13.1796875" style="2" bestFit="1" customWidth="1"/>
    <col min="3" max="3" width="12.81640625" style="2" bestFit="1" customWidth="1"/>
    <col min="4" max="4" width="10.90625" style="2" bestFit="1" customWidth="1"/>
    <col min="5" max="5" width="13.6328125" style="2" bestFit="1" customWidth="1"/>
    <col min="6" max="6" width="9.81640625" style="2" bestFit="1" customWidth="1"/>
    <col min="7" max="7" width="12.81640625" style="2" bestFit="1" customWidth="1"/>
    <col min="8" max="8" width="13.1796875" style="2" bestFit="1" customWidth="1"/>
    <col min="9" max="9" width="12.453125" style="2" bestFit="1" customWidth="1"/>
    <col min="10" max="11" width="12.453125" style="2" customWidth="1"/>
    <col min="12" max="12" width="62.81640625" style="31" customWidth="1"/>
    <col min="13" max="16384" width="8.81640625" style="2"/>
  </cols>
  <sheetData>
    <row r="1" spans="1:12" x14ac:dyDescent="0.3">
      <c r="A1" s="12" t="s">
        <v>308</v>
      </c>
      <c r="L1" s="30" t="s">
        <v>309</v>
      </c>
    </row>
    <row r="2" spans="1:12" s="14" customFormat="1" ht="39" x14ac:dyDescent="0.35">
      <c r="A2" s="15" t="s">
        <v>0</v>
      </c>
      <c r="B2" s="16" t="s">
        <v>1</v>
      </c>
      <c r="C2" s="16" t="s">
        <v>119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396</v>
      </c>
      <c r="J2" s="16" t="s">
        <v>397</v>
      </c>
      <c r="K2" s="16" t="s">
        <v>398</v>
      </c>
      <c r="L2" s="54" t="s">
        <v>147</v>
      </c>
    </row>
    <row r="3" spans="1:12" x14ac:dyDescent="0.3">
      <c r="A3" s="1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13</v>
      </c>
      <c r="I3" s="8">
        <v>880</v>
      </c>
      <c r="J3" s="8"/>
      <c r="K3" s="8">
        <f>Table124[[#This Row],[Eelarve 23.09.2025 seisuga ]]+Table124[[#This Row],[Muudatused]]</f>
        <v>880</v>
      </c>
      <c r="L3" s="38" t="s">
        <v>115</v>
      </c>
    </row>
    <row r="4" spans="1:12" x14ac:dyDescent="0.3">
      <c r="A4" s="17" t="s">
        <v>41</v>
      </c>
      <c r="B4" s="7" t="s">
        <v>39</v>
      </c>
      <c r="C4" s="7" t="s">
        <v>42</v>
      </c>
      <c r="D4" s="7" t="s">
        <v>18</v>
      </c>
      <c r="E4" s="7"/>
      <c r="F4" s="7"/>
      <c r="G4" s="7" t="s">
        <v>12</v>
      </c>
      <c r="H4" s="7" t="s">
        <v>13</v>
      </c>
      <c r="I4" s="8">
        <v>1341</v>
      </c>
      <c r="J4" s="8"/>
      <c r="K4" s="8">
        <f>Table124[[#This Row],[Eelarve 23.09.2025 seisuga ]]+Table124[[#This Row],[Muudatused]]</f>
        <v>1341</v>
      </c>
      <c r="L4" s="38" t="s">
        <v>134</v>
      </c>
    </row>
    <row r="5" spans="1:12" ht="26" x14ac:dyDescent="0.3">
      <c r="A5" s="17" t="s">
        <v>15</v>
      </c>
      <c r="B5" s="7" t="s">
        <v>16</v>
      </c>
      <c r="C5" s="7" t="s">
        <v>17</v>
      </c>
      <c r="D5" s="7" t="s">
        <v>18</v>
      </c>
      <c r="E5" s="7" t="s">
        <v>228</v>
      </c>
      <c r="F5" s="7"/>
      <c r="G5" s="7" t="s">
        <v>12</v>
      </c>
      <c r="H5" s="7" t="s">
        <v>72</v>
      </c>
      <c r="I5" s="8">
        <v>112682</v>
      </c>
      <c r="J5" s="27">
        <v>20796</v>
      </c>
      <c r="K5" s="27">
        <f>Table124[[#This Row],[Eelarve 23.09.2025 seisuga ]]+Table124[[#This Row],[Muudatused]]</f>
        <v>133478</v>
      </c>
      <c r="L5" s="40" t="s">
        <v>378</v>
      </c>
    </row>
    <row r="6" spans="1:12" x14ac:dyDescent="0.3">
      <c r="A6" s="17" t="s">
        <v>29</v>
      </c>
      <c r="B6" s="7" t="s">
        <v>16</v>
      </c>
      <c r="C6" s="7" t="s">
        <v>30</v>
      </c>
      <c r="D6" s="7" t="s">
        <v>31</v>
      </c>
      <c r="E6" s="7" t="s">
        <v>228</v>
      </c>
      <c r="F6" s="7"/>
      <c r="G6" s="7" t="s">
        <v>12</v>
      </c>
      <c r="H6" s="7" t="s">
        <v>72</v>
      </c>
      <c r="I6" s="8">
        <v>54867.1</v>
      </c>
      <c r="J6" s="27"/>
      <c r="K6" s="27">
        <f>Table124[[#This Row],[Eelarve 23.09.2025 seisuga ]]+Table124[[#This Row],[Muudatused]]</f>
        <v>54867.1</v>
      </c>
      <c r="L6" s="40"/>
    </row>
    <row r="7" spans="1:12" x14ac:dyDescent="0.3">
      <c r="A7" s="17" t="s">
        <v>47</v>
      </c>
      <c r="B7" s="7" t="s">
        <v>16</v>
      </c>
      <c r="C7" s="7" t="s">
        <v>9</v>
      </c>
      <c r="D7" s="7" t="s">
        <v>18</v>
      </c>
      <c r="E7" s="7" t="s">
        <v>231</v>
      </c>
      <c r="F7" s="7"/>
      <c r="G7" s="7" t="s">
        <v>12</v>
      </c>
      <c r="H7" s="7" t="s">
        <v>13</v>
      </c>
      <c r="I7" s="8">
        <v>13000.1</v>
      </c>
      <c r="J7" s="8"/>
      <c r="K7" s="8">
        <f>Table124[[#This Row],[Eelarve 23.09.2025 seisuga ]]+Table124[[#This Row],[Muudatused]]</f>
        <v>13000.1</v>
      </c>
      <c r="L7" s="38" t="s">
        <v>116</v>
      </c>
    </row>
    <row r="8" spans="1:12" x14ac:dyDescent="0.3">
      <c r="A8" s="17" t="s">
        <v>41</v>
      </c>
      <c r="B8" s="7" t="s">
        <v>16</v>
      </c>
      <c r="C8" s="7" t="s">
        <v>42</v>
      </c>
      <c r="D8" s="7" t="s">
        <v>18</v>
      </c>
      <c r="E8" s="7" t="s">
        <v>227</v>
      </c>
      <c r="F8" s="7"/>
      <c r="G8" s="7" t="s">
        <v>12</v>
      </c>
      <c r="H8" s="7" t="s">
        <v>13</v>
      </c>
      <c r="I8" s="8">
        <v>2560</v>
      </c>
      <c r="J8" s="27"/>
      <c r="K8" s="27">
        <f>Table124[[#This Row],[Eelarve 23.09.2025 seisuga ]]+Table124[[#This Row],[Muudatused]]</f>
        <v>2560</v>
      </c>
      <c r="L8" s="40" t="s">
        <v>20</v>
      </c>
    </row>
    <row r="9" spans="1:12" x14ac:dyDescent="0.3">
      <c r="A9" s="17" t="s">
        <v>229</v>
      </c>
      <c r="B9" s="7" t="s">
        <v>16</v>
      </c>
      <c r="C9" s="7" t="s">
        <v>51</v>
      </c>
      <c r="D9" s="7" t="s">
        <v>18</v>
      </c>
      <c r="E9" s="7" t="s">
        <v>230</v>
      </c>
      <c r="F9" s="7"/>
      <c r="G9" s="7" t="s">
        <v>12</v>
      </c>
      <c r="H9" s="7" t="s">
        <v>72</v>
      </c>
      <c r="I9" s="8">
        <v>10250</v>
      </c>
      <c r="J9" s="27"/>
      <c r="K9" s="27">
        <f>Table124[[#This Row],[Eelarve 23.09.2025 seisuga ]]+Table124[[#This Row],[Muudatused]]</f>
        <v>10250</v>
      </c>
      <c r="L9" s="40" t="s">
        <v>20</v>
      </c>
    </row>
    <row r="10" spans="1:12" ht="104" x14ac:dyDescent="0.3">
      <c r="A10" s="17" t="s">
        <v>285</v>
      </c>
      <c r="B10" s="7" t="s">
        <v>16</v>
      </c>
      <c r="C10" s="7" t="s">
        <v>289</v>
      </c>
      <c r="D10" s="7" t="s">
        <v>18</v>
      </c>
      <c r="E10" s="7" t="s">
        <v>226</v>
      </c>
      <c r="F10" s="7"/>
      <c r="G10" s="7" t="s">
        <v>12</v>
      </c>
      <c r="H10" s="7" t="s">
        <v>72</v>
      </c>
      <c r="I10" s="8">
        <v>999175</v>
      </c>
      <c r="J10" s="27">
        <v>-511365</v>
      </c>
      <c r="K10" s="27">
        <f>Table124[[#This Row],[Eelarve 23.09.2025 seisuga ]]+Table124[[#This Row],[Muudatused]]</f>
        <v>487810</v>
      </c>
      <c r="L10" s="40" t="s">
        <v>379</v>
      </c>
    </row>
    <row r="11" spans="1:12" x14ac:dyDescent="0.3">
      <c r="A11" s="18" t="s">
        <v>43</v>
      </c>
      <c r="B11" s="19" t="s">
        <v>36</v>
      </c>
      <c r="C11" s="19" t="s">
        <v>44</v>
      </c>
      <c r="D11" s="19" t="s">
        <v>18</v>
      </c>
      <c r="E11" s="19" t="s">
        <v>20</v>
      </c>
      <c r="F11" s="19"/>
      <c r="G11" s="19" t="s">
        <v>12</v>
      </c>
      <c r="H11" s="19" t="s">
        <v>72</v>
      </c>
      <c r="I11" s="20">
        <v>10900</v>
      </c>
      <c r="J11" s="28"/>
      <c r="K11" s="28">
        <f>Table124[[#This Row],[Eelarve 23.09.2025 seisuga ]]+Table124[[#This Row],[Muudatused]]</f>
        <v>10900</v>
      </c>
      <c r="L11" s="45"/>
    </row>
    <row r="12" spans="1:12" x14ac:dyDescent="0.3">
      <c r="A12" s="18"/>
      <c r="B12" s="19"/>
      <c r="C12" s="19"/>
      <c r="D12" s="19"/>
      <c r="E12" s="19"/>
      <c r="F12" s="19"/>
      <c r="G12" s="19"/>
      <c r="H12" s="19"/>
      <c r="I12" s="8">
        <f>SUBTOTAL(109,Table124[Eelarve 23.09.2025 seisuga ])</f>
        <v>1205655.2</v>
      </c>
      <c r="J12" s="8">
        <f>SUBTOTAL(109,Table124[Muudatused])</f>
        <v>-490569</v>
      </c>
      <c r="K12" s="8">
        <f>SUBTOTAL(109,Table124[Eelarve])</f>
        <v>715086.2</v>
      </c>
      <c r="L12" s="45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369A-35CE-4A29-8E21-168874BBA9A3}">
  <dimension ref="A1:L27"/>
  <sheetViews>
    <sheetView workbookViewId="0">
      <selection activeCell="A2" sqref="A2"/>
    </sheetView>
  </sheetViews>
  <sheetFormatPr defaultColWidth="8.81640625" defaultRowHeight="13" x14ac:dyDescent="0.3"/>
  <cols>
    <col min="1" max="1" width="13.81640625" style="2" bestFit="1" customWidth="1"/>
    <col min="2" max="2" width="13.1796875" style="2" bestFit="1" customWidth="1"/>
    <col min="3" max="3" width="12.81640625" style="2" bestFit="1" customWidth="1"/>
    <col min="4" max="4" width="10.90625" style="2" bestFit="1" customWidth="1"/>
    <col min="5" max="5" width="17.54296875" style="2" bestFit="1" customWidth="1"/>
    <col min="6" max="6" width="15.08984375" style="2" bestFit="1" customWidth="1"/>
    <col min="7" max="7" width="12.81640625" style="2" bestFit="1" customWidth="1"/>
    <col min="8" max="8" width="13.1796875" style="2" bestFit="1" customWidth="1"/>
    <col min="9" max="9" width="12.453125" style="2" bestFit="1" customWidth="1"/>
    <col min="10" max="11" width="12.453125" style="2" customWidth="1"/>
    <col min="12" max="12" width="71.1796875" style="26" bestFit="1" customWidth="1"/>
    <col min="13" max="16384" width="8.81640625" style="2"/>
  </cols>
  <sheetData>
    <row r="1" spans="1:12" x14ac:dyDescent="0.3">
      <c r="A1" s="12" t="s">
        <v>310</v>
      </c>
      <c r="L1" s="30" t="s">
        <v>311</v>
      </c>
    </row>
    <row r="2" spans="1:12" s="14" customFormat="1" ht="39" x14ac:dyDescent="0.35">
      <c r="A2" s="11" t="s">
        <v>0</v>
      </c>
      <c r="B2" s="11" t="s">
        <v>1</v>
      </c>
      <c r="C2" s="11" t="s">
        <v>119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396</v>
      </c>
      <c r="J2" s="11" t="s">
        <v>397</v>
      </c>
      <c r="K2" s="11" t="s">
        <v>398</v>
      </c>
      <c r="L2" s="53" t="s">
        <v>147</v>
      </c>
    </row>
    <row r="3" spans="1:12" x14ac:dyDescent="0.3">
      <c r="A3" s="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23</v>
      </c>
      <c r="H3" s="7" t="s">
        <v>232</v>
      </c>
      <c r="I3" s="8">
        <v>440</v>
      </c>
      <c r="J3" s="8"/>
      <c r="K3" s="8">
        <f>Table125[[#This Row],[Eelarve 23.09.2025 seisuga ]]+Table125[[#This Row],[Muudatused]]</f>
        <v>440</v>
      </c>
      <c r="L3" s="38" t="s">
        <v>115</v>
      </c>
    </row>
    <row r="4" spans="1:12" x14ac:dyDescent="0.3">
      <c r="A4" s="7" t="s">
        <v>41</v>
      </c>
      <c r="B4" s="7" t="s">
        <v>39</v>
      </c>
      <c r="C4" s="7" t="s">
        <v>42</v>
      </c>
      <c r="D4" s="7" t="s">
        <v>18</v>
      </c>
      <c r="E4" s="7"/>
      <c r="F4" s="7"/>
      <c r="G4" s="7" t="s">
        <v>23</v>
      </c>
      <c r="H4" s="7" t="s">
        <v>232</v>
      </c>
      <c r="I4" s="56">
        <v>808</v>
      </c>
      <c r="J4" s="56"/>
      <c r="K4" s="56">
        <f>Table125[[#This Row],[Eelarve 23.09.2025 seisuga ]]+Table125[[#This Row],[Muudatused]]</f>
        <v>808</v>
      </c>
      <c r="L4" s="38" t="s">
        <v>134</v>
      </c>
    </row>
    <row r="5" spans="1:12" x14ac:dyDescent="0.3">
      <c r="A5" s="7" t="s">
        <v>233</v>
      </c>
      <c r="B5" s="7" t="s">
        <v>39</v>
      </c>
      <c r="C5" s="7" t="s">
        <v>234</v>
      </c>
      <c r="D5" s="7" t="s">
        <v>18</v>
      </c>
      <c r="E5" s="7"/>
      <c r="F5" s="7"/>
      <c r="G5" s="7" t="s">
        <v>189</v>
      </c>
      <c r="H5" s="7" t="s">
        <v>232</v>
      </c>
      <c r="I5" s="8">
        <v>2150</v>
      </c>
      <c r="J5" s="8"/>
      <c r="K5" s="8">
        <f>Table125[[#This Row],[Eelarve 23.09.2025 seisuga ]]+Table125[[#This Row],[Muudatused]]</f>
        <v>2150</v>
      </c>
      <c r="L5" s="5"/>
    </row>
    <row r="6" spans="1:12" x14ac:dyDescent="0.3">
      <c r="A6" s="7" t="s">
        <v>49</v>
      </c>
      <c r="B6" s="7" t="s">
        <v>16</v>
      </c>
      <c r="C6" s="7" t="s">
        <v>50</v>
      </c>
      <c r="D6" s="7" t="s">
        <v>18</v>
      </c>
      <c r="E6" s="7" t="s">
        <v>236</v>
      </c>
      <c r="F6" s="7"/>
      <c r="G6" s="7" t="s">
        <v>189</v>
      </c>
      <c r="H6" s="7" t="s">
        <v>232</v>
      </c>
      <c r="I6" s="8">
        <v>403175</v>
      </c>
      <c r="J6" s="8"/>
      <c r="K6" s="8">
        <f>Table125[[#This Row],[Eelarve 23.09.2025 seisuga ]]+Table125[[#This Row],[Muudatused]]</f>
        <v>403175</v>
      </c>
      <c r="L6" s="5" t="s">
        <v>382</v>
      </c>
    </row>
    <row r="7" spans="1:12" x14ac:dyDescent="0.3">
      <c r="A7" s="7" t="s">
        <v>49</v>
      </c>
      <c r="B7" s="7" t="s">
        <v>16</v>
      </c>
      <c r="C7" s="7" t="s">
        <v>50</v>
      </c>
      <c r="D7" s="7" t="s">
        <v>18</v>
      </c>
      <c r="E7" s="7" t="s">
        <v>237</v>
      </c>
      <c r="F7" s="7"/>
      <c r="G7" s="7" t="s">
        <v>189</v>
      </c>
      <c r="H7" s="7" t="s">
        <v>232</v>
      </c>
      <c r="I7" s="8">
        <v>716329.09</v>
      </c>
      <c r="J7" s="8"/>
      <c r="K7" s="8">
        <f>Table125[[#This Row],[Eelarve 23.09.2025 seisuga ]]+Table125[[#This Row],[Muudatused]]</f>
        <v>716329.09</v>
      </c>
      <c r="L7" s="5" t="s">
        <v>382</v>
      </c>
    </row>
    <row r="8" spans="1:12" x14ac:dyDescent="0.3">
      <c r="A8" s="7" t="s">
        <v>63</v>
      </c>
      <c r="B8" s="7" t="s">
        <v>16</v>
      </c>
      <c r="C8" s="7" t="s">
        <v>64</v>
      </c>
      <c r="D8" s="7" t="s">
        <v>18</v>
      </c>
      <c r="E8" s="7" t="s">
        <v>245</v>
      </c>
      <c r="F8" s="7"/>
      <c r="G8" s="7" t="s">
        <v>189</v>
      </c>
      <c r="H8" s="7" t="s">
        <v>232</v>
      </c>
      <c r="I8" s="8">
        <v>372333.09</v>
      </c>
      <c r="J8" s="8"/>
      <c r="K8" s="8">
        <f>Table125[[#This Row],[Eelarve 23.09.2025 seisuga ]]+Table125[[#This Row],[Muudatused]]</f>
        <v>372333.09</v>
      </c>
      <c r="L8" s="5" t="s">
        <v>382</v>
      </c>
    </row>
    <row r="9" spans="1:12" x14ac:dyDescent="0.3">
      <c r="A9" s="7" t="s">
        <v>49</v>
      </c>
      <c r="B9" s="7" t="s">
        <v>16</v>
      </c>
      <c r="C9" s="7" t="s">
        <v>50</v>
      </c>
      <c r="D9" s="7" t="s">
        <v>18</v>
      </c>
      <c r="E9" s="7" t="s">
        <v>238</v>
      </c>
      <c r="F9" s="7"/>
      <c r="G9" s="7" t="s">
        <v>189</v>
      </c>
      <c r="H9" s="7" t="s">
        <v>232</v>
      </c>
      <c r="I9" s="8">
        <v>629975.09</v>
      </c>
      <c r="J9" s="8"/>
      <c r="K9" s="8">
        <f>Table125[[#This Row],[Eelarve 23.09.2025 seisuga ]]+Table125[[#This Row],[Muudatused]]</f>
        <v>629975.09</v>
      </c>
      <c r="L9" s="5" t="s">
        <v>382</v>
      </c>
    </row>
    <row r="10" spans="1:12" x14ac:dyDescent="0.3">
      <c r="A10" s="7" t="s">
        <v>49</v>
      </c>
      <c r="B10" s="7" t="s">
        <v>16</v>
      </c>
      <c r="C10" s="7" t="s">
        <v>50</v>
      </c>
      <c r="D10" s="7" t="s">
        <v>18</v>
      </c>
      <c r="E10" s="7" t="s">
        <v>239</v>
      </c>
      <c r="F10" s="7"/>
      <c r="G10" s="7" t="s">
        <v>189</v>
      </c>
      <c r="H10" s="7" t="s">
        <v>232</v>
      </c>
      <c r="I10" s="8">
        <v>120000.09</v>
      </c>
      <c r="J10" s="8"/>
      <c r="K10" s="8">
        <f>Table125[[#This Row],[Eelarve 23.09.2025 seisuga ]]+Table125[[#This Row],[Muudatused]]</f>
        <v>120000.09</v>
      </c>
      <c r="L10" s="5" t="s">
        <v>382</v>
      </c>
    </row>
    <row r="11" spans="1:12" x14ac:dyDescent="0.3">
      <c r="A11" s="7" t="s">
        <v>49</v>
      </c>
      <c r="B11" s="7" t="s">
        <v>16</v>
      </c>
      <c r="C11" s="7" t="s">
        <v>50</v>
      </c>
      <c r="D11" s="7" t="s">
        <v>18</v>
      </c>
      <c r="E11" s="7" t="s">
        <v>240</v>
      </c>
      <c r="F11" s="7"/>
      <c r="G11" s="7" t="s">
        <v>189</v>
      </c>
      <c r="H11" s="7" t="s">
        <v>232</v>
      </c>
      <c r="I11" s="8">
        <v>752175.09</v>
      </c>
      <c r="J11" s="8"/>
      <c r="K11" s="8">
        <f>Table125[[#This Row],[Eelarve 23.09.2025 seisuga ]]+Table125[[#This Row],[Muudatused]]</f>
        <v>752175.09</v>
      </c>
      <c r="L11" s="5" t="s">
        <v>382</v>
      </c>
    </row>
    <row r="12" spans="1:12" x14ac:dyDescent="0.3">
      <c r="A12" s="7" t="s">
        <v>76</v>
      </c>
      <c r="B12" s="7" t="s">
        <v>16</v>
      </c>
      <c r="C12" s="57">
        <v>450</v>
      </c>
      <c r="D12" s="7" t="s">
        <v>18</v>
      </c>
      <c r="E12" s="7" t="s">
        <v>380</v>
      </c>
      <c r="F12" s="7"/>
      <c r="G12" s="7" t="s">
        <v>23</v>
      </c>
      <c r="H12" s="7" t="s">
        <v>232</v>
      </c>
      <c r="I12" s="8"/>
      <c r="J12" s="8">
        <v>10000</v>
      </c>
      <c r="K12" s="8">
        <f>Table125[[#This Row],[Eelarve 23.09.2025 seisuga ]]+Table125[[#This Row],[Muudatused]]</f>
        <v>10000</v>
      </c>
      <c r="L12" s="5" t="s">
        <v>383</v>
      </c>
    </row>
    <row r="13" spans="1:12" x14ac:dyDescent="0.3">
      <c r="A13" s="7" t="s">
        <v>76</v>
      </c>
      <c r="B13" s="7" t="s">
        <v>16</v>
      </c>
      <c r="C13" s="7" t="s">
        <v>64</v>
      </c>
      <c r="D13" s="7" t="s">
        <v>18</v>
      </c>
      <c r="E13" s="7" t="s">
        <v>241</v>
      </c>
      <c r="F13" s="7"/>
      <c r="G13" s="7" t="s">
        <v>23</v>
      </c>
      <c r="H13" s="7" t="s">
        <v>232</v>
      </c>
      <c r="I13" s="8">
        <v>471548</v>
      </c>
      <c r="J13" s="8"/>
      <c r="K13" s="8">
        <f>Table125[[#This Row],[Eelarve 23.09.2025 seisuga ]]+Table125[[#This Row],[Muudatused]]</f>
        <v>471548</v>
      </c>
      <c r="L13" s="5" t="s">
        <v>381</v>
      </c>
    </row>
    <row r="14" spans="1:12" x14ac:dyDescent="0.3">
      <c r="A14" s="7" t="s">
        <v>63</v>
      </c>
      <c r="B14" s="7" t="s">
        <v>16</v>
      </c>
      <c r="C14" s="7" t="s">
        <v>64</v>
      </c>
      <c r="D14" s="7" t="s">
        <v>18</v>
      </c>
      <c r="E14" s="7" t="s">
        <v>246</v>
      </c>
      <c r="F14" s="7"/>
      <c r="G14" s="7" t="s">
        <v>23</v>
      </c>
      <c r="H14" s="7" t="s">
        <v>232</v>
      </c>
      <c r="I14" s="8">
        <v>70000.100000000006</v>
      </c>
      <c r="J14" s="8"/>
      <c r="K14" s="8">
        <f>Table125[[#This Row],[Eelarve 23.09.2025 seisuga ]]+Table125[[#This Row],[Muudatused]]</f>
        <v>70000.100000000006</v>
      </c>
      <c r="L14" s="5" t="s">
        <v>381</v>
      </c>
    </row>
    <row r="15" spans="1:12" ht="26" x14ac:dyDescent="0.3">
      <c r="A15" s="7" t="s">
        <v>41</v>
      </c>
      <c r="B15" s="7" t="s">
        <v>16</v>
      </c>
      <c r="C15" s="7" t="s">
        <v>42</v>
      </c>
      <c r="D15" s="7" t="s">
        <v>18</v>
      </c>
      <c r="E15" s="7" t="s">
        <v>235</v>
      </c>
      <c r="F15" s="7"/>
      <c r="G15" s="7" t="s">
        <v>23</v>
      </c>
      <c r="H15" s="7" t="s">
        <v>232</v>
      </c>
      <c r="I15" s="8">
        <v>26333</v>
      </c>
      <c r="J15" s="8">
        <v>-10000</v>
      </c>
      <c r="K15" s="8">
        <f>Table125[[#This Row],[Eelarve 23.09.2025 seisuga ]]+Table125[[#This Row],[Muudatused]]</f>
        <v>16333</v>
      </c>
      <c r="L15" s="5" t="s">
        <v>384</v>
      </c>
    </row>
    <row r="16" spans="1:12" x14ac:dyDescent="0.3">
      <c r="A16" s="7" t="s">
        <v>76</v>
      </c>
      <c r="B16" s="7" t="s">
        <v>16</v>
      </c>
      <c r="C16" s="7" t="s">
        <v>64</v>
      </c>
      <c r="D16" s="7" t="s">
        <v>18</v>
      </c>
      <c r="E16" s="7" t="s">
        <v>242</v>
      </c>
      <c r="F16" s="7"/>
      <c r="G16" s="7" t="s">
        <v>189</v>
      </c>
      <c r="H16" s="7" t="s">
        <v>232</v>
      </c>
      <c r="I16" s="8">
        <v>9004</v>
      </c>
      <c r="J16" s="8"/>
      <c r="K16" s="8">
        <f>Table125[[#This Row],[Eelarve 23.09.2025 seisuga ]]+Table125[[#This Row],[Muudatused]]</f>
        <v>9004</v>
      </c>
      <c r="L16" s="58" t="s">
        <v>327</v>
      </c>
    </row>
    <row r="17" spans="1:12" x14ac:dyDescent="0.3">
      <c r="A17" s="7" t="s">
        <v>76</v>
      </c>
      <c r="B17" s="7" t="s">
        <v>16</v>
      </c>
      <c r="C17" s="7" t="s">
        <v>64</v>
      </c>
      <c r="D17" s="7" t="s">
        <v>18</v>
      </c>
      <c r="E17" s="7" t="s">
        <v>243</v>
      </c>
      <c r="F17" s="7"/>
      <c r="G17" s="7" t="s">
        <v>189</v>
      </c>
      <c r="H17" s="7" t="s">
        <v>232</v>
      </c>
      <c r="I17" s="8">
        <v>503500</v>
      </c>
      <c r="J17" s="8"/>
      <c r="K17" s="8">
        <f>Table125[[#This Row],[Eelarve 23.09.2025 seisuga ]]+Table125[[#This Row],[Muudatused]]</f>
        <v>503500</v>
      </c>
      <c r="L17" s="38" t="s">
        <v>328</v>
      </c>
    </row>
    <row r="18" spans="1:12" x14ac:dyDescent="0.3">
      <c r="A18" s="7" t="s">
        <v>76</v>
      </c>
      <c r="B18" s="7" t="s">
        <v>16</v>
      </c>
      <c r="C18" s="7" t="s">
        <v>64</v>
      </c>
      <c r="D18" s="7" t="s">
        <v>18</v>
      </c>
      <c r="E18" s="7" t="s">
        <v>244</v>
      </c>
      <c r="F18" s="7"/>
      <c r="G18" s="7" t="s">
        <v>189</v>
      </c>
      <c r="H18" s="7" t="s">
        <v>232</v>
      </c>
      <c r="I18" s="8">
        <v>95888</v>
      </c>
      <c r="J18" s="8"/>
      <c r="K18" s="8">
        <f>Table125[[#This Row],[Eelarve 23.09.2025 seisuga ]]+Table125[[#This Row],[Muudatused]]</f>
        <v>95888</v>
      </c>
      <c r="L18" s="5" t="s">
        <v>385</v>
      </c>
    </row>
    <row r="19" spans="1:12" x14ac:dyDescent="0.3">
      <c r="A19" s="7" t="s">
        <v>47</v>
      </c>
      <c r="B19" s="7" t="s">
        <v>16</v>
      </c>
      <c r="C19" s="7" t="s">
        <v>9</v>
      </c>
      <c r="D19" s="7" t="s">
        <v>18</v>
      </c>
      <c r="E19" s="7" t="s">
        <v>247</v>
      </c>
      <c r="F19" s="7"/>
      <c r="G19" s="7" t="s">
        <v>12</v>
      </c>
      <c r="H19" s="7" t="s">
        <v>232</v>
      </c>
      <c r="I19" s="8">
        <v>8000.1</v>
      </c>
      <c r="J19" s="8"/>
      <c r="K19" s="8">
        <f>Table125[[#This Row],[Eelarve 23.09.2025 seisuga ]]+Table125[[#This Row],[Muudatused]]</f>
        <v>8000.1</v>
      </c>
      <c r="L19" s="5" t="s">
        <v>116</v>
      </c>
    </row>
    <row r="20" spans="1:12" x14ac:dyDescent="0.3">
      <c r="A20" s="7" t="s">
        <v>33</v>
      </c>
      <c r="B20" s="7" t="s">
        <v>8</v>
      </c>
      <c r="C20" s="7" t="s">
        <v>34</v>
      </c>
      <c r="D20" s="7" t="s">
        <v>10</v>
      </c>
      <c r="E20" s="7" t="s">
        <v>20</v>
      </c>
      <c r="F20" s="7" t="s">
        <v>248</v>
      </c>
      <c r="G20" s="7" t="s">
        <v>20</v>
      </c>
      <c r="H20" s="7" t="s">
        <v>232</v>
      </c>
      <c r="I20" s="8">
        <v>772</v>
      </c>
      <c r="J20" s="8"/>
      <c r="K20" s="8">
        <f>Table125[[#This Row],[Eelarve 23.09.2025 seisuga ]]+Table125[[#This Row],[Muudatused]]</f>
        <v>772</v>
      </c>
      <c r="L20" s="5" t="s">
        <v>249</v>
      </c>
    </row>
    <row r="21" spans="1:12" x14ac:dyDescent="0.3">
      <c r="A21" s="7" t="s">
        <v>49</v>
      </c>
      <c r="B21" s="7" t="s">
        <v>8</v>
      </c>
      <c r="C21" s="7" t="s">
        <v>50</v>
      </c>
      <c r="D21" s="7" t="s">
        <v>10</v>
      </c>
      <c r="E21" s="7" t="s">
        <v>20</v>
      </c>
      <c r="F21" s="7" t="s">
        <v>248</v>
      </c>
      <c r="G21" s="7" t="s">
        <v>23</v>
      </c>
      <c r="H21" s="7" t="s">
        <v>232</v>
      </c>
      <c r="I21" s="8">
        <v>292208</v>
      </c>
      <c r="J21" s="8"/>
      <c r="K21" s="8">
        <f>Table125[[#This Row],[Eelarve 23.09.2025 seisuga ]]+Table125[[#This Row],[Muudatused]]</f>
        <v>292208</v>
      </c>
      <c r="L21" s="5" t="s">
        <v>249</v>
      </c>
    </row>
    <row r="22" spans="1:12" x14ac:dyDescent="0.3">
      <c r="A22" s="7" t="s">
        <v>7</v>
      </c>
      <c r="B22" s="7" t="s">
        <v>8</v>
      </c>
      <c r="C22" s="7" t="s">
        <v>9</v>
      </c>
      <c r="D22" s="7" t="s">
        <v>10</v>
      </c>
      <c r="E22" s="7" t="s">
        <v>20</v>
      </c>
      <c r="F22" s="7" t="s">
        <v>248</v>
      </c>
      <c r="G22" s="7" t="s">
        <v>20</v>
      </c>
      <c r="H22" s="7" t="s">
        <v>232</v>
      </c>
      <c r="I22" s="8">
        <v>11026</v>
      </c>
      <c r="J22" s="8"/>
      <c r="K22" s="8">
        <f>Table125[[#This Row],[Eelarve 23.09.2025 seisuga ]]+Table125[[#This Row],[Muudatused]]</f>
        <v>11026</v>
      </c>
      <c r="L22" s="5" t="s">
        <v>249</v>
      </c>
    </row>
    <row r="23" spans="1:12" x14ac:dyDescent="0.3">
      <c r="A23" s="7" t="s">
        <v>49</v>
      </c>
      <c r="B23" s="7" t="s">
        <v>8</v>
      </c>
      <c r="C23" s="7" t="s">
        <v>50</v>
      </c>
      <c r="D23" s="7" t="s">
        <v>54</v>
      </c>
      <c r="E23" s="7" t="s">
        <v>20</v>
      </c>
      <c r="F23" s="7" t="s">
        <v>250</v>
      </c>
      <c r="G23" s="7" t="s">
        <v>189</v>
      </c>
      <c r="H23" s="7" t="s">
        <v>232</v>
      </c>
      <c r="I23" s="8">
        <v>143576</v>
      </c>
      <c r="J23" s="8"/>
      <c r="K23" s="8">
        <f>Table125[[#This Row],[Eelarve 23.09.2025 seisuga ]]+Table125[[#This Row],[Muudatused]]</f>
        <v>143576</v>
      </c>
      <c r="L23" s="5" t="s">
        <v>251</v>
      </c>
    </row>
    <row r="24" spans="1:12" x14ac:dyDescent="0.3">
      <c r="A24" s="7" t="s">
        <v>49</v>
      </c>
      <c r="B24" s="7" t="s">
        <v>8</v>
      </c>
      <c r="C24" s="7" t="s">
        <v>50</v>
      </c>
      <c r="D24" s="7" t="s">
        <v>51</v>
      </c>
      <c r="E24" s="7" t="s">
        <v>20</v>
      </c>
      <c r="F24" s="7" t="s">
        <v>250</v>
      </c>
      <c r="G24" s="7" t="s">
        <v>189</v>
      </c>
      <c r="H24" s="7" t="s">
        <v>232</v>
      </c>
      <c r="I24" s="8">
        <v>335010</v>
      </c>
      <c r="J24" s="8"/>
      <c r="K24" s="8">
        <f>Table125[[#This Row],[Eelarve 23.09.2025 seisuga ]]+Table125[[#This Row],[Muudatused]]</f>
        <v>335010</v>
      </c>
      <c r="L24" s="5" t="s">
        <v>251</v>
      </c>
    </row>
    <row r="25" spans="1:12" x14ac:dyDescent="0.3">
      <c r="A25" s="7" t="s">
        <v>49</v>
      </c>
      <c r="B25" s="7" t="s">
        <v>8</v>
      </c>
      <c r="C25" s="7" t="s">
        <v>50</v>
      </c>
      <c r="D25" s="7" t="s">
        <v>54</v>
      </c>
      <c r="E25" s="7" t="s">
        <v>20</v>
      </c>
      <c r="F25" s="7" t="s">
        <v>252</v>
      </c>
      <c r="G25" s="7" t="s">
        <v>189</v>
      </c>
      <c r="H25" s="7" t="s">
        <v>232</v>
      </c>
      <c r="I25" s="8">
        <v>115335</v>
      </c>
      <c r="J25" s="8"/>
      <c r="K25" s="8">
        <f>Table125[[#This Row],[Eelarve 23.09.2025 seisuga ]]+Table125[[#This Row],[Muudatused]]</f>
        <v>115335</v>
      </c>
      <c r="L25" s="5" t="s">
        <v>253</v>
      </c>
    </row>
    <row r="26" spans="1:12" x14ac:dyDescent="0.3">
      <c r="A26" s="7" t="s">
        <v>49</v>
      </c>
      <c r="B26" s="7" t="s">
        <v>8</v>
      </c>
      <c r="C26" s="7" t="s">
        <v>50</v>
      </c>
      <c r="D26" s="7" t="s">
        <v>51</v>
      </c>
      <c r="E26" s="7" t="s">
        <v>20</v>
      </c>
      <c r="F26" s="7" t="s">
        <v>252</v>
      </c>
      <c r="G26" s="7" t="s">
        <v>189</v>
      </c>
      <c r="H26" s="7" t="s">
        <v>232</v>
      </c>
      <c r="I26" s="8">
        <v>269116</v>
      </c>
      <c r="J26" s="8"/>
      <c r="K26" s="8">
        <f>Table125[[#This Row],[Eelarve 23.09.2025 seisuga ]]+Table125[[#This Row],[Muudatused]]</f>
        <v>269116</v>
      </c>
      <c r="L26" s="5" t="s">
        <v>253</v>
      </c>
    </row>
    <row r="27" spans="1:12" x14ac:dyDescent="0.3">
      <c r="I27" s="3">
        <f>SUBTOTAL(109,Table125[Eelarve 23.09.2025 seisuga ])</f>
        <v>5348701.6500000004</v>
      </c>
      <c r="J27" s="3">
        <f>SUBTOTAL(109,Table125[Muudatused])</f>
        <v>0</v>
      </c>
      <c r="K27" s="3">
        <f>SUBTOTAL(109,Table125[Eelarve])</f>
        <v>5348701.6500000004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1CA3-9209-432A-9E46-65C3FF6A0BBA}">
  <dimension ref="A1:L8"/>
  <sheetViews>
    <sheetView workbookViewId="0">
      <selection activeCell="A2" sqref="A2"/>
    </sheetView>
  </sheetViews>
  <sheetFormatPr defaultColWidth="8.81640625" defaultRowHeight="13" x14ac:dyDescent="0.3"/>
  <cols>
    <col min="1" max="1" width="18.1796875" style="2" bestFit="1" customWidth="1"/>
    <col min="2" max="2" width="13.1796875" style="2" bestFit="1" customWidth="1"/>
    <col min="3" max="3" width="12.81640625" style="2" bestFit="1" customWidth="1"/>
    <col min="4" max="5" width="10.90625" style="2" bestFit="1" customWidth="1"/>
    <col min="6" max="6" width="9.81640625" style="2" bestFit="1" customWidth="1"/>
    <col min="7" max="7" width="12.81640625" style="2" bestFit="1" customWidth="1"/>
    <col min="8" max="8" width="13.1796875" style="2" bestFit="1" customWidth="1"/>
    <col min="9" max="9" width="12.453125" style="2" bestFit="1" customWidth="1"/>
    <col min="10" max="11" width="12.453125" style="2" customWidth="1"/>
    <col min="12" max="12" width="47.6328125" style="31" customWidth="1"/>
    <col min="13" max="16384" width="8.81640625" style="2"/>
  </cols>
  <sheetData>
    <row r="1" spans="1:12" x14ac:dyDescent="0.3">
      <c r="A1" s="12" t="s">
        <v>312</v>
      </c>
      <c r="L1" s="30" t="s">
        <v>313</v>
      </c>
    </row>
    <row r="2" spans="1:12" s="14" customFormat="1" ht="39" x14ac:dyDescent="0.35">
      <c r="A2" s="15" t="s">
        <v>0</v>
      </c>
      <c r="B2" s="16" t="s">
        <v>1</v>
      </c>
      <c r="C2" s="16" t="s">
        <v>119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396</v>
      </c>
      <c r="J2" s="16" t="s">
        <v>397</v>
      </c>
      <c r="K2" s="16" t="s">
        <v>398</v>
      </c>
      <c r="L2" s="54" t="s">
        <v>147</v>
      </c>
    </row>
    <row r="3" spans="1:12" x14ac:dyDescent="0.3">
      <c r="A3" s="1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269</v>
      </c>
      <c r="I3" s="29">
        <v>1262</v>
      </c>
      <c r="J3" s="8"/>
      <c r="K3" s="8">
        <f>Table128[[#This Row],[Eelarve 23.09.2025 seisuga ]]+Table128[[#This Row],[Muudatused]]</f>
        <v>1262</v>
      </c>
      <c r="L3" s="5" t="s">
        <v>325</v>
      </c>
    </row>
    <row r="4" spans="1:12" x14ac:dyDescent="0.3">
      <c r="A4" s="17" t="s">
        <v>79</v>
      </c>
      <c r="B4" s="7" t="s">
        <v>39</v>
      </c>
      <c r="C4" s="7" t="s">
        <v>80</v>
      </c>
      <c r="D4" s="7" t="s">
        <v>18</v>
      </c>
      <c r="E4" s="7"/>
      <c r="F4" s="7"/>
      <c r="G4" s="7" t="s">
        <v>12</v>
      </c>
      <c r="H4" s="7" t="s">
        <v>269</v>
      </c>
      <c r="I4" s="8">
        <v>812</v>
      </c>
      <c r="J4" s="8"/>
      <c r="K4" s="8">
        <f>Table128[[#This Row],[Eelarve 23.09.2025 seisuga ]]+Table128[[#This Row],[Muudatused]]</f>
        <v>812</v>
      </c>
      <c r="L4" s="5" t="s">
        <v>326</v>
      </c>
    </row>
    <row r="5" spans="1:12" x14ac:dyDescent="0.3">
      <c r="A5" s="17" t="s">
        <v>68</v>
      </c>
      <c r="B5" s="7" t="s">
        <v>39</v>
      </c>
      <c r="C5" s="7" t="s">
        <v>69</v>
      </c>
      <c r="D5" s="7" t="s">
        <v>18</v>
      </c>
      <c r="E5" s="7"/>
      <c r="F5" s="7"/>
      <c r="G5" s="7" t="s">
        <v>12</v>
      </c>
      <c r="H5" s="7" t="s">
        <v>269</v>
      </c>
      <c r="I5" s="8">
        <v>0</v>
      </c>
      <c r="J5" s="27"/>
      <c r="K5" s="27">
        <f>Table128[[#This Row],[Eelarve 23.09.2025 seisuga ]]+Table128[[#This Row],[Muudatused]]</f>
        <v>0</v>
      </c>
      <c r="L5" s="40"/>
    </row>
    <row r="6" spans="1:12" x14ac:dyDescent="0.3">
      <c r="A6" s="17" t="s">
        <v>70</v>
      </c>
      <c r="B6" s="7" t="s">
        <v>39</v>
      </c>
      <c r="C6" s="7" t="s">
        <v>71</v>
      </c>
      <c r="D6" s="7" t="s">
        <v>18</v>
      </c>
      <c r="E6" s="7"/>
      <c r="F6" s="7"/>
      <c r="G6" s="7" t="s">
        <v>12</v>
      </c>
      <c r="H6" s="7" t="s">
        <v>269</v>
      </c>
      <c r="I6" s="8">
        <v>0</v>
      </c>
      <c r="J6" s="27"/>
      <c r="K6" s="27">
        <f>Table128[[#This Row],[Eelarve 23.09.2025 seisuga ]]+Table128[[#This Row],[Muudatused]]</f>
        <v>0</v>
      </c>
      <c r="L6" s="40"/>
    </row>
    <row r="7" spans="1:12" ht="26" x14ac:dyDescent="0.3">
      <c r="A7" s="18" t="s">
        <v>47</v>
      </c>
      <c r="B7" s="19" t="s">
        <v>16</v>
      </c>
      <c r="C7" s="19" t="s">
        <v>9</v>
      </c>
      <c r="D7" s="19" t="s">
        <v>18</v>
      </c>
      <c r="E7" s="19" t="s">
        <v>270</v>
      </c>
      <c r="F7" s="19"/>
      <c r="G7" s="19" t="s">
        <v>12</v>
      </c>
      <c r="H7" s="19" t="s">
        <v>269</v>
      </c>
      <c r="I7" s="20">
        <v>16600.099999999999</v>
      </c>
      <c r="J7" s="28">
        <v>2600</v>
      </c>
      <c r="K7" s="28">
        <f>Table128[[#This Row],[Eelarve 23.09.2025 seisuga ]]+Table128[[#This Row],[Muudatused]]</f>
        <v>19200.099999999999</v>
      </c>
      <c r="L7" s="45" t="s">
        <v>386</v>
      </c>
    </row>
    <row r="8" spans="1:12" x14ac:dyDescent="0.3">
      <c r="A8" s="18"/>
      <c r="B8" s="19"/>
      <c r="C8" s="19"/>
      <c r="D8" s="19"/>
      <c r="E8" s="19"/>
      <c r="F8" s="19"/>
      <c r="G8" s="19"/>
      <c r="H8" s="19"/>
      <c r="I8" s="8">
        <f>SUBTOTAL(109,Table128[Eelarve 23.09.2025 seisuga ])</f>
        <v>18674.099999999999</v>
      </c>
      <c r="J8" s="8">
        <f>SUBTOTAL(109,Table128[Muudatused])</f>
        <v>2600</v>
      </c>
      <c r="K8" s="8">
        <f>SUBTOTAL(109,Table128[Eelarve])</f>
        <v>21274.1</v>
      </c>
      <c r="L8" s="45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640C-230C-49EF-B1B6-78C8CD7218D4}">
  <dimension ref="A1:L20"/>
  <sheetViews>
    <sheetView workbookViewId="0">
      <selection activeCell="A2" sqref="A2:L2"/>
    </sheetView>
  </sheetViews>
  <sheetFormatPr defaultColWidth="8.81640625" defaultRowHeight="13" x14ac:dyDescent="0.3"/>
  <cols>
    <col min="1" max="1" width="19.36328125" style="2" bestFit="1" customWidth="1"/>
    <col min="2" max="2" width="12.1796875" style="2" bestFit="1" customWidth="1"/>
    <col min="3" max="3" width="14.6328125" style="2" bestFit="1" customWidth="1"/>
    <col min="4" max="4" width="20.08984375" style="2" bestFit="1" customWidth="1"/>
    <col min="5" max="5" width="18.36328125" style="2" bestFit="1" customWidth="1"/>
    <col min="6" max="6" width="20" style="2" bestFit="1" customWidth="1"/>
    <col min="7" max="7" width="12.1796875" style="2" bestFit="1" customWidth="1"/>
    <col min="8" max="8" width="11.6328125" style="2" bestFit="1" customWidth="1"/>
    <col min="9" max="11" width="15" style="2" customWidth="1"/>
    <col min="12" max="12" width="40.90625" style="31" customWidth="1"/>
    <col min="13" max="16384" width="8.81640625" style="2"/>
  </cols>
  <sheetData>
    <row r="1" spans="1:12" x14ac:dyDescent="0.3">
      <c r="A1" s="12" t="s">
        <v>112</v>
      </c>
      <c r="L1" s="30" t="s">
        <v>113</v>
      </c>
    </row>
    <row r="2" spans="1:12" ht="39" x14ac:dyDescent="0.3">
      <c r="A2" s="11" t="s">
        <v>0</v>
      </c>
      <c r="B2" s="11" t="s">
        <v>1</v>
      </c>
      <c r="C2" s="11" t="s">
        <v>119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6" t="s">
        <v>396</v>
      </c>
      <c r="J2" s="16" t="s">
        <v>397</v>
      </c>
      <c r="K2" s="16" t="s">
        <v>398</v>
      </c>
      <c r="L2" s="11" t="s">
        <v>147</v>
      </c>
    </row>
    <row r="3" spans="1:12" x14ac:dyDescent="0.3">
      <c r="A3" s="7" t="s">
        <v>38</v>
      </c>
      <c r="B3" s="7" t="s">
        <v>39</v>
      </c>
      <c r="C3" s="7" t="s">
        <v>40</v>
      </c>
      <c r="D3" s="7" t="s">
        <v>18</v>
      </c>
      <c r="E3" s="7"/>
      <c r="F3" s="7" t="s">
        <v>20</v>
      </c>
      <c r="G3" s="7" t="s">
        <v>12</v>
      </c>
      <c r="H3" s="7" t="s">
        <v>53</v>
      </c>
      <c r="I3" s="8">
        <v>968</v>
      </c>
      <c r="J3" s="8"/>
      <c r="K3" s="8">
        <f>Table18[[#This Row],[Eelarve 23.09.2025 seisuga ]]+Table18[[#This Row],[Muudatused]]</f>
        <v>968</v>
      </c>
      <c r="L3" s="5" t="s">
        <v>115</v>
      </c>
    </row>
    <row r="4" spans="1:12" x14ac:dyDescent="0.3">
      <c r="A4" s="7" t="s">
        <v>41</v>
      </c>
      <c r="B4" s="7" t="s">
        <v>39</v>
      </c>
      <c r="C4" s="7" t="s">
        <v>42</v>
      </c>
      <c r="D4" s="7" t="s">
        <v>18</v>
      </c>
      <c r="E4" s="7"/>
      <c r="F4" s="7" t="s">
        <v>20</v>
      </c>
      <c r="G4" s="7" t="s">
        <v>12</v>
      </c>
      <c r="H4" s="7" t="s">
        <v>53</v>
      </c>
      <c r="I4" s="8">
        <v>943</v>
      </c>
      <c r="J4" s="8"/>
      <c r="K4" s="8">
        <f>Table18[[#This Row],[Eelarve 23.09.2025 seisuga ]]+Table18[[#This Row],[Muudatused]]</f>
        <v>943</v>
      </c>
      <c r="L4" s="5" t="s">
        <v>115</v>
      </c>
    </row>
    <row r="5" spans="1:12" ht="26" x14ac:dyDescent="0.3">
      <c r="A5" s="7" t="s">
        <v>63</v>
      </c>
      <c r="B5" s="7" t="s">
        <v>16</v>
      </c>
      <c r="C5" s="7" t="s">
        <v>64</v>
      </c>
      <c r="D5" s="7" t="s">
        <v>65</v>
      </c>
      <c r="E5" s="7" t="s">
        <v>66</v>
      </c>
      <c r="F5" s="7" t="s">
        <v>20</v>
      </c>
      <c r="G5" s="7" t="s">
        <v>12</v>
      </c>
      <c r="H5" s="7" t="s">
        <v>53</v>
      </c>
      <c r="I5" s="8">
        <v>750000.1</v>
      </c>
      <c r="J5" s="8"/>
      <c r="K5" s="8">
        <f>Table18[[#This Row],[Eelarve 23.09.2025 seisuga ]]+Table18[[#This Row],[Muudatused]]</f>
        <v>750000.1</v>
      </c>
      <c r="L5" s="5" t="s">
        <v>342</v>
      </c>
    </row>
    <row r="6" spans="1:12" x14ac:dyDescent="0.3">
      <c r="A6" s="7" t="s">
        <v>47</v>
      </c>
      <c r="B6" s="7" t="s">
        <v>16</v>
      </c>
      <c r="C6" s="7" t="s">
        <v>9</v>
      </c>
      <c r="D6" s="7" t="s">
        <v>18</v>
      </c>
      <c r="E6" s="7" t="s">
        <v>67</v>
      </c>
      <c r="F6" s="7" t="s">
        <v>20</v>
      </c>
      <c r="G6" s="7" t="s">
        <v>12</v>
      </c>
      <c r="H6" s="7" t="s">
        <v>53</v>
      </c>
      <c r="I6" s="8">
        <v>14650.1</v>
      </c>
      <c r="J6" s="8"/>
      <c r="K6" s="8">
        <f>Table18[[#This Row],[Eelarve 23.09.2025 seisuga ]]+Table18[[#This Row],[Muudatused]]</f>
        <v>14650.1</v>
      </c>
      <c r="L6" s="5" t="s">
        <v>116</v>
      </c>
    </row>
    <row r="7" spans="1:12" x14ac:dyDescent="0.3">
      <c r="A7" s="7" t="s">
        <v>29</v>
      </c>
      <c r="B7" s="7" t="s">
        <v>8</v>
      </c>
      <c r="C7" s="7" t="s">
        <v>30</v>
      </c>
      <c r="D7" s="7" t="s">
        <v>55</v>
      </c>
      <c r="E7" s="7"/>
      <c r="F7" s="7" t="s">
        <v>56</v>
      </c>
      <c r="G7" s="7" t="s">
        <v>12</v>
      </c>
      <c r="H7" s="7" t="s">
        <v>53</v>
      </c>
      <c r="I7" s="8">
        <v>428250</v>
      </c>
      <c r="J7" s="8">
        <v>-428250</v>
      </c>
      <c r="K7" s="8">
        <f>Table18[[#This Row],[Eelarve 23.09.2025 seisuga ]]+Table18[[#This Row],[Muudatused]]</f>
        <v>0</v>
      </c>
      <c r="L7" s="5" t="s">
        <v>114</v>
      </c>
    </row>
    <row r="8" spans="1:12" x14ac:dyDescent="0.3">
      <c r="A8" s="7" t="s">
        <v>57</v>
      </c>
      <c r="B8" s="7" t="s">
        <v>8</v>
      </c>
      <c r="C8" s="7" t="s">
        <v>58</v>
      </c>
      <c r="D8" s="7" t="s">
        <v>10</v>
      </c>
      <c r="E8" s="7"/>
      <c r="F8" s="7" t="s">
        <v>56</v>
      </c>
      <c r="G8" s="7" t="s">
        <v>12</v>
      </c>
      <c r="H8" s="7" t="s">
        <v>53</v>
      </c>
      <c r="I8" s="8">
        <v>44010</v>
      </c>
      <c r="J8" s="8"/>
      <c r="K8" s="8">
        <f>Table18[[#This Row],[Eelarve 23.09.2025 seisuga ]]+Table18[[#This Row],[Muudatused]]</f>
        <v>44010</v>
      </c>
      <c r="L8" s="5" t="s">
        <v>114</v>
      </c>
    </row>
    <row r="9" spans="1:12" x14ac:dyDescent="0.3">
      <c r="A9" s="7" t="s">
        <v>49</v>
      </c>
      <c r="B9" s="7" t="s">
        <v>8</v>
      </c>
      <c r="C9" s="7" t="s">
        <v>50</v>
      </c>
      <c r="D9" s="7" t="s">
        <v>10</v>
      </c>
      <c r="E9" s="7"/>
      <c r="F9" s="7" t="s">
        <v>56</v>
      </c>
      <c r="G9" s="7" t="s">
        <v>12</v>
      </c>
      <c r="H9" s="7" t="s">
        <v>53</v>
      </c>
      <c r="I9" s="8">
        <v>11607</v>
      </c>
      <c r="J9" s="8">
        <v>428250</v>
      </c>
      <c r="K9" s="8">
        <f>Table18[[#This Row],[Eelarve 23.09.2025 seisuga ]]+Table18[[#This Row],[Muudatused]]</f>
        <v>439857</v>
      </c>
      <c r="L9" s="5" t="s">
        <v>114</v>
      </c>
    </row>
    <row r="10" spans="1:12" x14ac:dyDescent="0.3">
      <c r="A10" s="7" t="s">
        <v>7</v>
      </c>
      <c r="B10" s="7" t="s">
        <v>8</v>
      </c>
      <c r="C10" s="7" t="s">
        <v>9</v>
      </c>
      <c r="D10" s="7" t="s">
        <v>10</v>
      </c>
      <c r="E10" s="7"/>
      <c r="F10" s="7" t="s">
        <v>56</v>
      </c>
      <c r="G10" s="7" t="s">
        <v>12</v>
      </c>
      <c r="H10" s="7" t="s">
        <v>53</v>
      </c>
      <c r="I10" s="8">
        <v>4724</v>
      </c>
      <c r="J10" s="8"/>
      <c r="K10" s="8">
        <f>Table18[[#This Row],[Eelarve 23.09.2025 seisuga ]]+Table18[[#This Row],[Muudatused]]</f>
        <v>4724</v>
      </c>
      <c r="L10" s="5" t="s">
        <v>114</v>
      </c>
    </row>
    <row r="11" spans="1:12" x14ac:dyDescent="0.3">
      <c r="A11" s="7" t="s">
        <v>49</v>
      </c>
      <c r="B11" s="7" t="s">
        <v>8</v>
      </c>
      <c r="C11" s="7" t="s">
        <v>50</v>
      </c>
      <c r="D11" s="7" t="s">
        <v>18</v>
      </c>
      <c r="E11" s="7"/>
      <c r="F11" s="7" t="s">
        <v>56</v>
      </c>
      <c r="G11" s="7" t="s">
        <v>12</v>
      </c>
      <c r="H11" s="7" t="s">
        <v>53</v>
      </c>
      <c r="I11" s="8">
        <v>26750.1</v>
      </c>
      <c r="J11" s="8"/>
      <c r="K11" s="8">
        <f>Table18[[#This Row],[Eelarve 23.09.2025 seisuga ]]+Table18[[#This Row],[Muudatused]]</f>
        <v>26750.1</v>
      </c>
      <c r="L11" s="5" t="s">
        <v>114</v>
      </c>
    </row>
    <row r="12" spans="1:12" ht="39" x14ac:dyDescent="0.3">
      <c r="A12" s="7" t="s">
        <v>7</v>
      </c>
      <c r="B12" s="7" t="s">
        <v>8</v>
      </c>
      <c r="C12" s="7" t="s">
        <v>9</v>
      </c>
      <c r="D12" s="7" t="s">
        <v>10</v>
      </c>
      <c r="E12" s="7"/>
      <c r="F12" s="7" t="s">
        <v>59</v>
      </c>
      <c r="G12" s="7" t="s">
        <v>12</v>
      </c>
      <c r="H12" s="7" t="s">
        <v>53</v>
      </c>
      <c r="I12" s="8">
        <v>20000</v>
      </c>
      <c r="J12" s="8">
        <v>10000</v>
      </c>
      <c r="K12" s="8">
        <f>Table18[[#This Row],[Eelarve 23.09.2025 seisuga ]]+Table18[[#This Row],[Muudatused]]</f>
        <v>30000</v>
      </c>
      <c r="L12" s="5" t="s">
        <v>343</v>
      </c>
    </row>
    <row r="13" spans="1:12" x14ac:dyDescent="0.3">
      <c r="A13" s="7" t="s">
        <v>60</v>
      </c>
      <c r="B13" s="7" t="s">
        <v>8</v>
      </c>
      <c r="C13" s="7" t="s">
        <v>61</v>
      </c>
      <c r="D13" s="7" t="s">
        <v>10</v>
      </c>
      <c r="E13" s="7"/>
      <c r="F13" s="7" t="s">
        <v>59</v>
      </c>
      <c r="G13" s="7" t="s">
        <v>12</v>
      </c>
      <c r="H13" s="7" t="s">
        <v>53</v>
      </c>
      <c r="I13" s="8">
        <v>6500</v>
      </c>
      <c r="J13" s="8"/>
      <c r="K13" s="8">
        <f>Table18[[#This Row],[Eelarve 23.09.2025 seisuga ]]+Table18[[#This Row],[Muudatused]]</f>
        <v>6500</v>
      </c>
      <c r="L13" s="5" t="s">
        <v>117</v>
      </c>
    </row>
    <row r="14" spans="1:12" ht="26" x14ac:dyDescent="0.3">
      <c r="A14" s="7" t="s">
        <v>49</v>
      </c>
      <c r="B14" s="7" t="s">
        <v>8</v>
      </c>
      <c r="C14" s="7" t="s">
        <v>50</v>
      </c>
      <c r="D14" s="7" t="s">
        <v>51</v>
      </c>
      <c r="E14" s="7"/>
      <c r="F14" s="7" t="s">
        <v>52</v>
      </c>
      <c r="G14" s="7" t="s">
        <v>12</v>
      </c>
      <c r="H14" s="7" t="s">
        <v>53</v>
      </c>
      <c r="I14" s="8">
        <v>18463870.73</v>
      </c>
      <c r="J14" s="8">
        <v>2073042</v>
      </c>
      <c r="K14" s="8">
        <f>Table18[[#This Row],[Eelarve 23.09.2025 seisuga ]]+Table18[[#This Row],[Muudatused]]</f>
        <v>20536912.73</v>
      </c>
      <c r="L14" s="5" t="s">
        <v>118</v>
      </c>
    </row>
    <row r="15" spans="1:12" ht="26" x14ac:dyDescent="0.3">
      <c r="A15" s="7" t="s">
        <v>49</v>
      </c>
      <c r="B15" s="7" t="s">
        <v>8</v>
      </c>
      <c r="C15" s="7" t="s">
        <v>50</v>
      </c>
      <c r="D15" s="7" t="s">
        <v>54</v>
      </c>
      <c r="E15" s="7"/>
      <c r="F15" s="7" t="s">
        <v>52</v>
      </c>
      <c r="G15" s="7" t="s">
        <v>12</v>
      </c>
      <c r="H15" s="7" t="s">
        <v>53</v>
      </c>
      <c r="I15" s="8">
        <v>2889049.7800000003</v>
      </c>
      <c r="J15" s="8">
        <v>324363</v>
      </c>
      <c r="K15" s="8">
        <f>Table18[[#This Row],[Eelarve 23.09.2025 seisuga ]]+Table18[[#This Row],[Muudatused]]</f>
        <v>3213412.7800000003</v>
      </c>
      <c r="L15" s="5" t="s">
        <v>118</v>
      </c>
    </row>
    <row r="16" spans="1:12" x14ac:dyDescent="0.3">
      <c r="I16" s="3">
        <f>SUBTOTAL(109,Table18[Eelarve 23.09.2025 seisuga ])</f>
        <v>22661322.810000002</v>
      </c>
      <c r="J16" s="3">
        <f>SUBTOTAL(109,Table18[Muudatused])</f>
        <v>2407405</v>
      </c>
      <c r="K16" s="3">
        <f>SUBTOTAL(109,Table18[Eelarve])</f>
        <v>25068727.810000002</v>
      </c>
    </row>
    <row r="20" spans="9:11" x14ac:dyDescent="0.3">
      <c r="I20" s="3"/>
      <c r="K20" s="3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C5A33-6226-4282-82C9-8A00A279F736}">
  <dimension ref="A1:L21"/>
  <sheetViews>
    <sheetView workbookViewId="0">
      <selection activeCell="A2" sqref="A2"/>
    </sheetView>
  </sheetViews>
  <sheetFormatPr defaultColWidth="8.81640625" defaultRowHeight="13" x14ac:dyDescent="0.3"/>
  <cols>
    <col min="1" max="1" width="24.08984375" style="2" bestFit="1" customWidth="1"/>
    <col min="2" max="2" width="17.1796875" style="2" bestFit="1" customWidth="1"/>
    <col min="3" max="3" width="15.453125" style="2" bestFit="1" customWidth="1"/>
    <col min="4" max="4" width="20.90625" style="2" bestFit="1" customWidth="1"/>
    <col min="5" max="5" width="18.81640625" style="2" bestFit="1" customWidth="1"/>
    <col min="6" max="6" width="9.81640625" style="2" bestFit="1" customWidth="1"/>
    <col min="7" max="7" width="10.54296875" style="2" customWidth="1"/>
    <col min="8" max="8" width="11.36328125" style="2" customWidth="1"/>
    <col min="9" max="11" width="10.81640625" style="2" customWidth="1"/>
    <col min="12" max="12" width="39.453125" style="52" customWidth="1"/>
    <col min="13" max="16384" width="8.81640625" style="2"/>
  </cols>
  <sheetData>
    <row r="1" spans="1:12" x14ac:dyDescent="0.3">
      <c r="B1" s="12" t="s">
        <v>314</v>
      </c>
      <c r="L1" s="51" t="s">
        <v>315</v>
      </c>
    </row>
    <row r="2" spans="1:12" s="14" customFormat="1" ht="39" x14ac:dyDescent="0.35">
      <c r="A2" s="11" t="s">
        <v>0</v>
      </c>
      <c r="B2" s="11" t="s">
        <v>1</v>
      </c>
      <c r="C2" s="11" t="s">
        <v>119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6" t="s">
        <v>396</v>
      </c>
      <c r="J2" s="16" t="s">
        <v>397</v>
      </c>
      <c r="K2" s="16" t="s">
        <v>398</v>
      </c>
      <c r="L2" s="11" t="s">
        <v>147</v>
      </c>
    </row>
    <row r="3" spans="1:12" x14ac:dyDescent="0.3">
      <c r="A3" s="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272</v>
      </c>
      <c r="I3" s="8">
        <v>1584</v>
      </c>
      <c r="J3" s="8"/>
      <c r="K3" s="8">
        <f>Table130[[#This Row],[Eelarve 23.09.2025 seisuga ]]+Table130[[#This Row],[Muudatused]]</f>
        <v>1584</v>
      </c>
      <c r="L3" s="38" t="s">
        <v>115</v>
      </c>
    </row>
    <row r="4" spans="1:12" x14ac:dyDescent="0.3">
      <c r="A4" s="7" t="s">
        <v>41</v>
      </c>
      <c r="B4" s="7" t="s">
        <v>39</v>
      </c>
      <c r="C4" s="7" t="s">
        <v>42</v>
      </c>
      <c r="D4" s="7" t="s">
        <v>18</v>
      </c>
      <c r="E4" s="7"/>
      <c r="F4" s="7"/>
      <c r="G4" s="7" t="s">
        <v>12</v>
      </c>
      <c r="H4" s="7" t="s">
        <v>272</v>
      </c>
      <c r="I4" s="8">
        <v>2290</v>
      </c>
      <c r="J4" s="8"/>
      <c r="K4" s="8">
        <f>Table130[[#This Row],[Eelarve 23.09.2025 seisuga ]]+Table130[[#This Row],[Muudatused]]</f>
        <v>2290</v>
      </c>
      <c r="L4" s="38" t="s">
        <v>134</v>
      </c>
    </row>
    <row r="5" spans="1:12" ht="26" x14ac:dyDescent="0.3">
      <c r="A5" s="7" t="s">
        <v>198</v>
      </c>
      <c r="B5" s="7" t="s">
        <v>16</v>
      </c>
      <c r="C5" s="7" t="s">
        <v>30</v>
      </c>
      <c r="D5" s="7" t="s">
        <v>194</v>
      </c>
      <c r="E5" s="7" t="s">
        <v>276</v>
      </c>
      <c r="F5" s="7"/>
      <c r="G5" s="7" t="s">
        <v>12</v>
      </c>
      <c r="H5" s="7" t="s">
        <v>271</v>
      </c>
      <c r="I5" s="8">
        <v>50000.1</v>
      </c>
      <c r="J5" s="8">
        <v>-6559</v>
      </c>
      <c r="K5" s="8">
        <f>Table130[[#This Row],[Eelarve 23.09.2025 seisuga ]]+Table130[[#This Row],[Muudatused]]</f>
        <v>43441.1</v>
      </c>
      <c r="L5" s="5" t="s">
        <v>387</v>
      </c>
    </row>
    <row r="6" spans="1:12" x14ac:dyDescent="0.3">
      <c r="A6" s="7" t="s">
        <v>277</v>
      </c>
      <c r="B6" s="7" t="s">
        <v>16</v>
      </c>
      <c r="C6" s="7" t="s">
        <v>278</v>
      </c>
      <c r="D6" s="7" t="s">
        <v>18</v>
      </c>
      <c r="E6" s="7" t="s">
        <v>279</v>
      </c>
      <c r="F6" s="7"/>
      <c r="G6" s="7" t="s">
        <v>12</v>
      </c>
      <c r="H6" s="7" t="s">
        <v>271</v>
      </c>
      <c r="I6" s="8">
        <v>21000</v>
      </c>
      <c r="J6" s="8"/>
      <c r="K6" s="8">
        <f>Table130[[#This Row],[Eelarve 23.09.2025 seisuga ]]+Table130[[#This Row],[Muudatused]]</f>
        <v>21000</v>
      </c>
      <c r="L6" s="5" t="s">
        <v>331</v>
      </c>
    </row>
    <row r="7" spans="1:12" x14ac:dyDescent="0.3">
      <c r="A7" s="7" t="s">
        <v>282</v>
      </c>
      <c r="B7" s="7" t="s">
        <v>16</v>
      </c>
      <c r="C7" s="7" t="s">
        <v>283</v>
      </c>
      <c r="D7" s="7" t="s">
        <v>18</v>
      </c>
      <c r="E7" s="7" t="s">
        <v>284</v>
      </c>
      <c r="F7" s="7"/>
      <c r="G7" s="7" t="s">
        <v>12</v>
      </c>
      <c r="H7" s="7" t="s">
        <v>72</v>
      </c>
      <c r="I7" s="8">
        <v>7900</v>
      </c>
      <c r="J7" s="8"/>
      <c r="K7" s="8">
        <f>Table130[[#This Row],[Eelarve 23.09.2025 seisuga ]]+Table130[[#This Row],[Muudatused]]</f>
        <v>7900</v>
      </c>
      <c r="L7" s="5" t="s">
        <v>332</v>
      </c>
    </row>
    <row r="8" spans="1:12" ht="39" x14ac:dyDescent="0.3">
      <c r="A8" s="7" t="s">
        <v>47</v>
      </c>
      <c r="B8" s="7" t="s">
        <v>16</v>
      </c>
      <c r="C8" s="7" t="s">
        <v>9</v>
      </c>
      <c r="D8" s="7" t="s">
        <v>18</v>
      </c>
      <c r="E8" s="7" t="s">
        <v>281</v>
      </c>
      <c r="F8" s="7"/>
      <c r="G8" s="7" t="s">
        <v>12</v>
      </c>
      <c r="H8" s="7" t="s">
        <v>272</v>
      </c>
      <c r="I8" s="8">
        <v>14230.1</v>
      </c>
      <c r="J8" s="8"/>
      <c r="K8" s="8">
        <f>Table130[[#This Row],[Eelarve 23.09.2025 seisuga ]]+Table130[[#This Row],[Muudatused]]</f>
        <v>14230.1</v>
      </c>
      <c r="L8" s="5" t="s">
        <v>333</v>
      </c>
    </row>
    <row r="9" spans="1:12" ht="39" x14ac:dyDescent="0.3">
      <c r="A9" s="7" t="s">
        <v>285</v>
      </c>
      <c r="B9" s="7" t="s">
        <v>16</v>
      </c>
      <c r="C9" s="7" t="s">
        <v>286</v>
      </c>
      <c r="D9" s="7" t="s">
        <v>65</v>
      </c>
      <c r="E9" s="7" t="s">
        <v>273</v>
      </c>
      <c r="F9" s="7"/>
      <c r="G9" s="7" t="s">
        <v>12</v>
      </c>
      <c r="H9" s="7" t="s">
        <v>272</v>
      </c>
      <c r="I9" s="8">
        <v>66000</v>
      </c>
      <c r="J9" s="8"/>
      <c r="K9" s="8">
        <f>Table130[[#This Row],[Eelarve 23.09.2025 seisuga ]]+Table130[[#This Row],[Muudatused]]</f>
        <v>66000</v>
      </c>
      <c r="L9" s="5" t="s">
        <v>334</v>
      </c>
    </row>
    <row r="10" spans="1:12" ht="39" x14ac:dyDescent="0.3">
      <c r="A10" s="7" t="s">
        <v>280</v>
      </c>
      <c r="B10" s="7" t="s">
        <v>16</v>
      </c>
      <c r="C10" s="7" t="s">
        <v>278</v>
      </c>
      <c r="D10" s="7" t="s">
        <v>274</v>
      </c>
      <c r="E10" s="7" t="s">
        <v>275</v>
      </c>
      <c r="F10" s="7"/>
      <c r="G10" s="7" t="s">
        <v>12</v>
      </c>
      <c r="H10" s="7" t="s">
        <v>271</v>
      </c>
      <c r="I10" s="8">
        <v>841861</v>
      </c>
      <c r="J10" s="8">
        <v>30000</v>
      </c>
      <c r="K10" s="8">
        <f>Table130[[#This Row],[Eelarve 23.09.2025 seisuga ]]+Table130[[#This Row],[Muudatused]]</f>
        <v>871861</v>
      </c>
      <c r="L10" s="5" t="s">
        <v>388</v>
      </c>
    </row>
    <row r="11" spans="1:12" ht="91" x14ac:dyDescent="0.3">
      <c r="A11" s="7" t="s">
        <v>285</v>
      </c>
      <c r="B11" s="7" t="s">
        <v>36</v>
      </c>
      <c r="C11" s="7" t="s">
        <v>126</v>
      </c>
      <c r="D11" s="7" t="s">
        <v>18</v>
      </c>
      <c r="E11" s="7" t="s">
        <v>20</v>
      </c>
      <c r="F11" s="7"/>
      <c r="G11" s="7" t="s">
        <v>12</v>
      </c>
      <c r="H11" s="7" t="s">
        <v>271</v>
      </c>
      <c r="I11" s="8">
        <v>140313.1</v>
      </c>
      <c r="J11" s="8"/>
      <c r="K11" s="8">
        <f>Table130[[#This Row],[Eelarve 23.09.2025 seisuga ]]+Table130[[#This Row],[Muudatused]]</f>
        <v>140313.1</v>
      </c>
      <c r="L11" s="5" t="s">
        <v>329</v>
      </c>
    </row>
    <row r="12" spans="1:12" x14ac:dyDescent="0.3">
      <c r="I12" s="3">
        <f>SUBTOTAL(109,Table130[Eelarve 23.09.2025 seisuga ])</f>
        <v>1145178.3</v>
      </c>
      <c r="J12" s="3">
        <f>SUBTOTAL(109,Table130[Muudatused])</f>
        <v>23441</v>
      </c>
      <c r="K12" s="3">
        <f>SUBTOTAL(109,Table130[Eelarve])</f>
        <v>1168619.3</v>
      </c>
    </row>
    <row r="19" spans="12:12" x14ac:dyDescent="0.3">
      <c r="L19" s="2"/>
    </row>
    <row r="20" spans="12:12" x14ac:dyDescent="0.3">
      <c r="L20" s="2"/>
    </row>
    <row r="21" spans="12:12" x14ac:dyDescent="0.3">
      <c r="L21" s="2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9F6A-AAC6-42EE-8241-01DA563C1CAB}">
  <dimension ref="A1:L16"/>
  <sheetViews>
    <sheetView workbookViewId="0">
      <selection activeCell="A2" sqref="A2"/>
    </sheetView>
  </sheetViews>
  <sheetFormatPr defaultColWidth="8.81640625" defaultRowHeight="13" x14ac:dyDescent="0.3"/>
  <cols>
    <col min="1" max="1" width="18.1796875" style="2" bestFit="1" customWidth="1"/>
    <col min="2" max="2" width="13.1796875" style="2" bestFit="1" customWidth="1"/>
    <col min="3" max="3" width="12.81640625" style="2" bestFit="1" customWidth="1"/>
    <col min="4" max="4" width="10.90625" style="2" bestFit="1" customWidth="1"/>
    <col min="5" max="5" width="15.6328125" style="2" bestFit="1" customWidth="1"/>
    <col min="6" max="6" width="15.81640625" style="2" bestFit="1" customWidth="1"/>
    <col min="7" max="7" width="12.81640625" style="2" bestFit="1" customWidth="1"/>
    <col min="8" max="8" width="13.1796875" style="2" bestFit="1" customWidth="1"/>
    <col min="9" max="9" width="13.453125" style="2" bestFit="1" customWidth="1"/>
    <col min="10" max="11" width="13.453125" style="2" customWidth="1"/>
    <col min="12" max="12" width="32.81640625" style="31" bestFit="1" customWidth="1"/>
    <col min="13" max="16384" width="8.81640625" style="2"/>
  </cols>
  <sheetData>
    <row r="1" spans="1:12" x14ac:dyDescent="0.3">
      <c r="A1" s="12" t="s">
        <v>316</v>
      </c>
      <c r="L1" s="30" t="s">
        <v>317</v>
      </c>
    </row>
    <row r="2" spans="1:12" s="14" customFormat="1" ht="39" x14ac:dyDescent="0.35">
      <c r="A2" s="15" t="s">
        <v>0</v>
      </c>
      <c r="B2" s="16" t="s">
        <v>1</v>
      </c>
      <c r="C2" s="16" t="s">
        <v>119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396</v>
      </c>
      <c r="J2" s="16" t="s">
        <v>397</v>
      </c>
      <c r="K2" s="16" t="s">
        <v>398</v>
      </c>
      <c r="L2" s="54" t="s">
        <v>147</v>
      </c>
    </row>
    <row r="3" spans="1:12" x14ac:dyDescent="0.3">
      <c r="A3" s="1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254</v>
      </c>
      <c r="I3" s="8">
        <v>968</v>
      </c>
      <c r="J3" s="8"/>
      <c r="K3" s="8">
        <f>Table127[[#This Row],[Eelarve 23.09.2025 seisuga ]]+Table127[[#This Row],[Muudatused]]</f>
        <v>968</v>
      </c>
      <c r="L3" s="38" t="s">
        <v>115</v>
      </c>
    </row>
    <row r="4" spans="1:12" x14ac:dyDescent="0.3">
      <c r="A4" s="17" t="s">
        <v>68</v>
      </c>
      <c r="B4" s="7" t="s">
        <v>8</v>
      </c>
      <c r="C4" s="7" t="s">
        <v>69</v>
      </c>
      <c r="D4" s="7" t="s">
        <v>10</v>
      </c>
      <c r="E4" s="7" t="s">
        <v>20</v>
      </c>
      <c r="F4" s="7" t="s">
        <v>256</v>
      </c>
      <c r="G4" s="7" t="s">
        <v>20</v>
      </c>
      <c r="H4" s="7" t="s">
        <v>20</v>
      </c>
      <c r="I4" s="8">
        <v>24155</v>
      </c>
      <c r="J4" s="27"/>
      <c r="K4" s="27">
        <f>Table127[[#This Row],[Eelarve 23.09.2025 seisuga ]]+Table127[[#This Row],[Muudatused]]</f>
        <v>24155</v>
      </c>
      <c r="L4" s="40" t="s">
        <v>392</v>
      </c>
    </row>
    <row r="5" spans="1:12" ht="26" x14ac:dyDescent="0.3">
      <c r="A5" s="17" t="s">
        <v>7</v>
      </c>
      <c r="B5" s="7" t="s">
        <v>8</v>
      </c>
      <c r="C5" s="7" t="s">
        <v>9</v>
      </c>
      <c r="D5" s="7" t="s">
        <v>10</v>
      </c>
      <c r="E5" s="7" t="s">
        <v>20</v>
      </c>
      <c r="F5" s="7" t="s">
        <v>256</v>
      </c>
      <c r="G5" s="7" t="s">
        <v>20</v>
      </c>
      <c r="H5" s="7" t="s">
        <v>20</v>
      </c>
      <c r="I5" s="8">
        <v>109356</v>
      </c>
      <c r="J5" s="27">
        <v>1000</v>
      </c>
      <c r="K5" s="27">
        <f>Table127[[#This Row],[Eelarve 23.09.2025 seisuga ]]+Table127[[#This Row],[Muudatused]]</f>
        <v>110356</v>
      </c>
      <c r="L5" s="40" t="s">
        <v>393</v>
      </c>
    </row>
    <row r="6" spans="1:12" ht="26" x14ac:dyDescent="0.3">
      <c r="A6" s="17" t="s">
        <v>68</v>
      </c>
      <c r="B6" s="7" t="s">
        <v>8</v>
      </c>
      <c r="C6" s="7" t="s">
        <v>69</v>
      </c>
      <c r="D6" s="7" t="s">
        <v>10</v>
      </c>
      <c r="E6" s="7" t="s">
        <v>20</v>
      </c>
      <c r="F6" s="7" t="s">
        <v>257</v>
      </c>
      <c r="G6" s="7" t="s">
        <v>20</v>
      </c>
      <c r="H6" s="7" t="s">
        <v>254</v>
      </c>
      <c r="I6" s="8">
        <v>28688</v>
      </c>
      <c r="J6" s="60"/>
      <c r="K6" s="60">
        <f>Table127[[#This Row],[Eelarve 23.09.2025 seisuga ]]+Table127[[#This Row],[Muudatused]]</f>
        <v>28688</v>
      </c>
      <c r="L6" s="61" t="s">
        <v>258</v>
      </c>
    </row>
    <row r="7" spans="1:12" ht="39" x14ac:dyDescent="0.3">
      <c r="A7" s="17" t="s">
        <v>7</v>
      </c>
      <c r="B7" s="7" t="s">
        <v>8</v>
      </c>
      <c r="C7" s="7" t="s">
        <v>9</v>
      </c>
      <c r="D7" s="7" t="s">
        <v>10</v>
      </c>
      <c r="E7" s="7" t="s">
        <v>20</v>
      </c>
      <c r="F7" s="7" t="s">
        <v>257</v>
      </c>
      <c r="G7" s="7" t="s">
        <v>20</v>
      </c>
      <c r="H7" s="7" t="s">
        <v>254</v>
      </c>
      <c r="I7" s="8">
        <v>226193</v>
      </c>
      <c r="J7" s="60">
        <v>70000</v>
      </c>
      <c r="K7" s="60">
        <f>Table127[[#This Row],[Eelarve 23.09.2025 seisuga ]]+Table127[[#This Row],[Muudatused]]</f>
        <v>296193</v>
      </c>
      <c r="L7" s="61" t="s">
        <v>391</v>
      </c>
    </row>
    <row r="8" spans="1:12" ht="26" x14ac:dyDescent="0.3">
      <c r="A8" s="17" t="s">
        <v>41</v>
      </c>
      <c r="B8" s="7" t="s">
        <v>8</v>
      </c>
      <c r="C8" s="7" t="s">
        <v>42</v>
      </c>
      <c r="D8" s="7" t="s">
        <v>10</v>
      </c>
      <c r="E8" s="7" t="s">
        <v>20</v>
      </c>
      <c r="F8" s="7" t="s">
        <v>255</v>
      </c>
      <c r="G8" s="7" t="s">
        <v>20</v>
      </c>
      <c r="H8" s="7" t="s">
        <v>254</v>
      </c>
      <c r="I8" s="8">
        <v>28688</v>
      </c>
      <c r="J8" s="27"/>
      <c r="K8" s="27">
        <f>Table127[[#This Row],[Eelarve 23.09.2025 seisuga ]]+Table127[[#This Row],[Muudatused]]</f>
        <v>28688</v>
      </c>
      <c r="L8" s="40" t="s">
        <v>259</v>
      </c>
    </row>
    <row r="9" spans="1:12" ht="39" x14ac:dyDescent="0.3">
      <c r="A9" s="17" t="s">
        <v>7</v>
      </c>
      <c r="B9" s="7" t="s">
        <v>8</v>
      </c>
      <c r="C9" s="7" t="s">
        <v>9</v>
      </c>
      <c r="D9" s="7" t="s">
        <v>10</v>
      </c>
      <c r="E9" s="7" t="s">
        <v>20</v>
      </c>
      <c r="F9" s="7" t="s">
        <v>255</v>
      </c>
      <c r="G9" s="7" t="s">
        <v>20</v>
      </c>
      <c r="H9" s="7" t="s">
        <v>254</v>
      </c>
      <c r="I9" s="8">
        <v>166826</v>
      </c>
      <c r="J9" s="27">
        <v>60000</v>
      </c>
      <c r="K9" s="27">
        <f>Table127[[#This Row],[Eelarve 23.09.2025 seisuga ]]+Table127[[#This Row],[Muudatused]]</f>
        <v>226826</v>
      </c>
      <c r="L9" s="40" t="s">
        <v>390</v>
      </c>
    </row>
    <row r="10" spans="1:12" ht="39" x14ac:dyDescent="0.3">
      <c r="A10" s="17" t="s">
        <v>41</v>
      </c>
      <c r="B10" s="7" t="s">
        <v>8</v>
      </c>
      <c r="C10" s="7" t="s">
        <v>42</v>
      </c>
      <c r="D10" s="7" t="s">
        <v>10</v>
      </c>
      <c r="E10" s="7" t="s">
        <v>20</v>
      </c>
      <c r="F10" s="7" t="s">
        <v>260</v>
      </c>
      <c r="G10" s="7" t="s">
        <v>20</v>
      </c>
      <c r="H10" s="7" t="s">
        <v>254</v>
      </c>
      <c r="I10" s="8">
        <v>28688</v>
      </c>
      <c r="J10" s="27"/>
      <c r="K10" s="27">
        <f>Table127[[#This Row],[Eelarve 23.09.2025 seisuga ]]+Table127[[#This Row],[Muudatused]]</f>
        <v>28688</v>
      </c>
      <c r="L10" s="40" t="s">
        <v>261</v>
      </c>
    </row>
    <row r="11" spans="1:12" ht="52" x14ac:dyDescent="0.3">
      <c r="A11" s="17" t="s">
        <v>7</v>
      </c>
      <c r="B11" s="7" t="s">
        <v>8</v>
      </c>
      <c r="C11" s="7" t="s">
        <v>9</v>
      </c>
      <c r="D11" s="7" t="s">
        <v>10</v>
      </c>
      <c r="E11" s="7" t="s">
        <v>20</v>
      </c>
      <c r="F11" s="7" t="s">
        <v>260</v>
      </c>
      <c r="G11" s="7" t="s">
        <v>20</v>
      </c>
      <c r="H11" s="7" t="s">
        <v>254</v>
      </c>
      <c r="I11" s="8">
        <v>166826</v>
      </c>
      <c r="J11" s="27">
        <v>44154</v>
      </c>
      <c r="K11" s="27">
        <f>Table127[[#This Row],[Eelarve 23.09.2025 seisuga ]]+Table127[[#This Row],[Muudatused]]</f>
        <v>210980</v>
      </c>
      <c r="L11" s="40" t="s">
        <v>389</v>
      </c>
    </row>
    <row r="12" spans="1:12" x14ac:dyDescent="0.3">
      <c r="A12" s="17" t="s">
        <v>49</v>
      </c>
      <c r="B12" s="7" t="s">
        <v>8</v>
      </c>
      <c r="C12" s="7" t="s">
        <v>50</v>
      </c>
      <c r="D12" s="7" t="s">
        <v>54</v>
      </c>
      <c r="E12" s="7" t="s">
        <v>20</v>
      </c>
      <c r="F12" s="7" t="s">
        <v>262</v>
      </c>
      <c r="G12" s="7" t="s">
        <v>62</v>
      </c>
      <c r="H12" s="7" t="s">
        <v>254</v>
      </c>
      <c r="I12" s="8">
        <v>2274062</v>
      </c>
      <c r="J12" s="27"/>
      <c r="K12" s="27">
        <f>Table127[[#This Row],[Eelarve 23.09.2025 seisuga ]]+Table127[[#This Row],[Muudatused]]</f>
        <v>2274062</v>
      </c>
      <c r="L12" s="40" t="s">
        <v>20</v>
      </c>
    </row>
    <row r="13" spans="1:12" ht="26" x14ac:dyDescent="0.3">
      <c r="A13" s="17" t="s">
        <v>49</v>
      </c>
      <c r="B13" s="7" t="s">
        <v>8</v>
      </c>
      <c r="C13" s="7" t="s">
        <v>50</v>
      </c>
      <c r="D13" s="7" t="s">
        <v>263</v>
      </c>
      <c r="E13" s="7" t="s">
        <v>20</v>
      </c>
      <c r="F13" s="7" t="s">
        <v>264</v>
      </c>
      <c r="G13" s="7" t="s">
        <v>265</v>
      </c>
      <c r="H13" s="7" t="s">
        <v>254</v>
      </c>
      <c r="I13" s="8">
        <v>1044454.1</v>
      </c>
      <c r="J13" s="27"/>
      <c r="K13" s="27">
        <f>Table127[[#This Row],[Eelarve 23.09.2025 seisuga ]]+Table127[[#This Row],[Muudatused]]</f>
        <v>1044454.1</v>
      </c>
      <c r="L13" s="40" t="s">
        <v>335</v>
      </c>
    </row>
    <row r="14" spans="1:12" x14ac:dyDescent="0.3">
      <c r="A14" s="17" t="s">
        <v>49</v>
      </c>
      <c r="B14" s="7" t="s">
        <v>8</v>
      </c>
      <c r="C14" s="7" t="s">
        <v>50</v>
      </c>
      <c r="D14" s="7" t="s">
        <v>51</v>
      </c>
      <c r="E14" s="7" t="s">
        <v>20</v>
      </c>
      <c r="F14" s="7" t="s">
        <v>264</v>
      </c>
      <c r="G14" s="7" t="s">
        <v>265</v>
      </c>
      <c r="H14" s="7" t="s">
        <v>254</v>
      </c>
      <c r="I14" s="8">
        <v>19798448</v>
      </c>
      <c r="J14" s="27"/>
      <c r="K14" s="27">
        <f>Table127[[#This Row],[Eelarve 23.09.2025 seisuga ]]+Table127[[#This Row],[Muudatused]]</f>
        <v>19798448</v>
      </c>
      <c r="L14" s="40" t="s">
        <v>266</v>
      </c>
    </row>
    <row r="15" spans="1:12" ht="26" x14ac:dyDescent="0.3">
      <c r="A15" s="17" t="s">
        <v>49</v>
      </c>
      <c r="B15" s="7" t="s">
        <v>8</v>
      </c>
      <c r="C15" s="7" t="s">
        <v>50</v>
      </c>
      <c r="D15" s="7" t="s">
        <v>54</v>
      </c>
      <c r="E15" s="7" t="s">
        <v>20</v>
      </c>
      <c r="F15" s="7" t="s">
        <v>267</v>
      </c>
      <c r="G15" s="7" t="s">
        <v>265</v>
      </c>
      <c r="H15" s="7" t="s">
        <v>254</v>
      </c>
      <c r="I15" s="8">
        <v>4323662</v>
      </c>
      <c r="J15" s="27"/>
      <c r="K15" s="27">
        <f>Table127[[#This Row],[Eelarve 23.09.2025 seisuga ]]+Table127[[#This Row],[Muudatused]]</f>
        <v>4323662</v>
      </c>
      <c r="L15" s="40" t="s">
        <v>268</v>
      </c>
    </row>
    <row r="16" spans="1:12" x14ac:dyDescent="0.3">
      <c r="A16" s="18"/>
      <c r="B16" s="19"/>
      <c r="C16" s="19"/>
      <c r="D16" s="19"/>
      <c r="E16" s="19"/>
      <c r="F16" s="19"/>
      <c r="G16" s="19"/>
      <c r="H16" s="19"/>
      <c r="I16" s="8">
        <f>SUBTOTAL(109,Table127[Eelarve 23.09.2025 seisuga ])</f>
        <v>28221014.100000001</v>
      </c>
      <c r="J16" s="8">
        <f>SUBTOTAL(109,Table127[Muudatused])</f>
        <v>175154</v>
      </c>
      <c r="K16" s="8">
        <f>SUBTOTAL(109,Table127[Eelarve])</f>
        <v>28396168.100000001</v>
      </c>
      <c r="L16" s="45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C66AC-0BAA-4D1D-8F74-372A45A5C6B0}">
  <dimension ref="A1:L9"/>
  <sheetViews>
    <sheetView workbookViewId="0">
      <selection activeCell="A2" sqref="A2"/>
    </sheetView>
  </sheetViews>
  <sheetFormatPr defaultColWidth="8.81640625" defaultRowHeight="13" x14ac:dyDescent="0.3"/>
  <cols>
    <col min="1" max="1" width="18.1796875" style="2" bestFit="1" customWidth="1"/>
    <col min="2" max="2" width="13.1796875" style="2" bestFit="1" customWidth="1"/>
    <col min="3" max="3" width="12.81640625" style="2" bestFit="1" customWidth="1"/>
    <col min="4" max="4" width="10.90625" style="2" bestFit="1" customWidth="1"/>
    <col min="5" max="5" width="11.54296875" style="2" bestFit="1" customWidth="1"/>
    <col min="6" max="6" width="9.81640625" style="2" bestFit="1" customWidth="1"/>
    <col min="7" max="7" width="12.81640625" style="2" bestFit="1" customWidth="1"/>
    <col min="8" max="8" width="13.1796875" style="2" bestFit="1" customWidth="1"/>
    <col min="9" max="9" width="12.453125" style="2" bestFit="1" customWidth="1"/>
    <col min="10" max="11" width="12.453125" style="2" customWidth="1"/>
    <col min="12" max="12" width="46.81640625" style="31" bestFit="1" customWidth="1"/>
    <col min="13" max="16384" width="8.81640625" style="2"/>
  </cols>
  <sheetData>
    <row r="1" spans="1:12" x14ac:dyDescent="0.3">
      <c r="A1" s="12" t="s">
        <v>318</v>
      </c>
      <c r="L1" s="30" t="s">
        <v>319</v>
      </c>
    </row>
    <row r="2" spans="1:12" s="14" customFormat="1" ht="39" x14ac:dyDescent="0.35">
      <c r="A2" s="15" t="s">
        <v>0</v>
      </c>
      <c r="B2" s="16" t="s">
        <v>1</v>
      </c>
      <c r="C2" s="16" t="s">
        <v>119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396</v>
      </c>
      <c r="J2" s="16" t="s">
        <v>397</v>
      </c>
      <c r="K2" s="16" t="s">
        <v>398</v>
      </c>
      <c r="L2" s="54" t="s">
        <v>147</v>
      </c>
    </row>
    <row r="3" spans="1:12" x14ac:dyDescent="0.3">
      <c r="A3" s="1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153</v>
      </c>
      <c r="I3" s="8">
        <v>792</v>
      </c>
      <c r="J3" s="8"/>
      <c r="K3" s="8">
        <f>Table16[[#This Row],[Eelarve 23.09.2025 seisuga ]]+Table16[[#This Row],[Muudatused]]</f>
        <v>792</v>
      </c>
      <c r="L3" s="38" t="s">
        <v>115</v>
      </c>
    </row>
    <row r="4" spans="1:12" x14ac:dyDescent="0.3">
      <c r="A4" s="17" t="s">
        <v>41</v>
      </c>
      <c r="B4" s="7" t="s">
        <v>39</v>
      </c>
      <c r="C4" s="7" t="s">
        <v>42</v>
      </c>
      <c r="D4" s="7" t="s">
        <v>18</v>
      </c>
      <c r="E4" s="7"/>
      <c r="F4" s="7"/>
      <c r="G4" s="7" t="s">
        <v>12</v>
      </c>
      <c r="H4" s="7" t="s">
        <v>153</v>
      </c>
      <c r="I4" s="8">
        <v>1212</v>
      </c>
      <c r="J4" s="8"/>
      <c r="K4" s="8">
        <f>Table16[[#This Row],[Eelarve 23.09.2025 seisuga ]]+Table16[[#This Row],[Muudatused]]</f>
        <v>1212</v>
      </c>
      <c r="L4" s="38" t="s">
        <v>134</v>
      </c>
    </row>
    <row r="5" spans="1:12" ht="52" x14ac:dyDescent="0.3">
      <c r="A5" s="17" t="s">
        <v>41</v>
      </c>
      <c r="B5" s="7" t="s">
        <v>16</v>
      </c>
      <c r="C5" s="7" t="s">
        <v>42</v>
      </c>
      <c r="D5" s="7" t="s">
        <v>18</v>
      </c>
      <c r="E5" s="7" t="s">
        <v>154</v>
      </c>
      <c r="F5" s="7"/>
      <c r="G5" s="7" t="s">
        <v>12</v>
      </c>
      <c r="H5" s="7" t="s">
        <v>153</v>
      </c>
      <c r="I5" s="8">
        <v>10000.1</v>
      </c>
      <c r="J5" s="27">
        <v>2100</v>
      </c>
      <c r="K5" s="27">
        <f>Table16[[#This Row],[Eelarve 23.09.2025 seisuga ]]+Table16[[#This Row],[Muudatused]]</f>
        <v>12100.1</v>
      </c>
      <c r="L5" s="40" t="s">
        <v>394</v>
      </c>
    </row>
    <row r="6" spans="1:12" x14ac:dyDescent="0.3">
      <c r="A6" s="17" t="s">
        <v>47</v>
      </c>
      <c r="B6" s="7" t="s">
        <v>16</v>
      </c>
      <c r="C6" s="7" t="s">
        <v>9</v>
      </c>
      <c r="D6" s="7" t="s">
        <v>18</v>
      </c>
      <c r="E6" s="7" t="s">
        <v>155</v>
      </c>
      <c r="F6" s="7"/>
      <c r="G6" s="7" t="s">
        <v>12</v>
      </c>
      <c r="H6" s="7" t="s">
        <v>153</v>
      </c>
      <c r="I6" s="8">
        <v>11200.1</v>
      </c>
      <c r="J6" s="3"/>
      <c r="K6" s="3">
        <f>Table16[[#This Row],[Eelarve 23.09.2025 seisuga ]]+Table16[[#This Row],[Muudatused]]</f>
        <v>11200.1</v>
      </c>
      <c r="L6" s="31" t="s">
        <v>116</v>
      </c>
    </row>
    <row r="7" spans="1:12" ht="39" x14ac:dyDescent="0.3">
      <c r="A7" s="17" t="s">
        <v>156</v>
      </c>
      <c r="B7" s="7" t="s">
        <v>36</v>
      </c>
      <c r="C7" s="7" t="s">
        <v>157</v>
      </c>
      <c r="D7" s="7" t="s">
        <v>18</v>
      </c>
      <c r="E7" s="7" t="s">
        <v>20</v>
      </c>
      <c r="F7" s="7"/>
      <c r="G7" s="7" t="s">
        <v>12</v>
      </c>
      <c r="H7" s="7" t="s">
        <v>153</v>
      </c>
      <c r="I7" s="8">
        <v>171</v>
      </c>
      <c r="J7" s="27">
        <v>17174</v>
      </c>
      <c r="K7" s="27">
        <f>Table16[[#This Row],[Eelarve 23.09.2025 seisuga ]]+Table16[[#This Row],[Muudatused]]</f>
        <v>17345</v>
      </c>
      <c r="L7" s="40" t="s">
        <v>395</v>
      </c>
    </row>
    <row r="8" spans="1:12" x14ac:dyDescent="0.3">
      <c r="A8" s="18" t="s">
        <v>158</v>
      </c>
      <c r="B8" s="19" t="s">
        <v>36</v>
      </c>
      <c r="C8" s="19" t="s">
        <v>159</v>
      </c>
      <c r="D8" s="19" t="s">
        <v>18</v>
      </c>
      <c r="E8" s="19" t="s">
        <v>20</v>
      </c>
      <c r="F8" s="19"/>
      <c r="G8" s="19" t="s">
        <v>12</v>
      </c>
      <c r="H8" s="19" t="s">
        <v>153</v>
      </c>
      <c r="I8" s="20">
        <v>4739</v>
      </c>
      <c r="J8" s="28"/>
      <c r="K8" s="28">
        <f>Table16[[#This Row],[Eelarve 23.09.2025 seisuga ]]+Table16[[#This Row],[Muudatused]]</f>
        <v>4739</v>
      </c>
      <c r="L8" s="45" t="s">
        <v>20</v>
      </c>
    </row>
    <row r="9" spans="1:12" x14ac:dyDescent="0.3">
      <c r="A9" s="18"/>
      <c r="B9" s="19"/>
      <c r="C9" s="19"/>
      <c r="D9" s="19"/>
      <c r="E9" s="19"/>
      <c r="F9" s="19"/>
      <c r="G9" s="19"/>
      <c r="H9" s="19"/>
      <c r="I9" s="8">
        <f>SUBTOTAL(109,Table16[Eelarve 23.09.2025 seisuga ])</f>
        <v>28114.2</v>
      </c>
      <c r="J9" s="8">
        <f>SUBTOTAL(109,Table16[Muudatused])</f>
        <v>19274</v>
      </c>
      <c r="K9" s="8">
        <f>SUBTOTAL(109,Table16[Eelarve])</f>
        <v>47388.2</v>
      </c>
      <c r="L9" s="45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7F08-BA26-4380-90EC-FBD938B0477B}">
  <dimension ref="A1:L13"/>
  <sheetViews>
    <sheetView zoomScale="88" zoomScaleNormal="88" workbookViewId="0">
      <selection activeCell="A2" sqref="A2"/>
    </sheetView>
  </sheetViews>
  <sheetFormatPr defaultColWidth="8.81640625" defaultRowHeight="13" x14ac:dyDescent="0.3"/>
  <cols>
    <col min="1" max="1" width="22.90625" style="2" bestFit="1" customWidth="1"/>
    <col min="2" max="2" width="11.81640625" style="2" bestFit="1" customWidth="1"/>
    <col min="3" max="3" width="14.6328125" style="2" bestFit="1" customWidth="1"/>
    <col min="4" max="4" width="20.08984375" style="2" bestFit="1" customWidth="1"/>
    <col min="5" max="5" width="19.81640625" style="2" bestFit="1" customWidth="1"/>
    <col min="6" max="6" width="7.90625" style="2" bestFit="1" customWidth="1"/>
    <col min="7" max="7" width="12.1796875" style="2" bestFit="1" customWidth="1"/>
    <col min="8" max="8" width="11.6328125" style="2" bestFit="1" customWidth="1"/>
    <col min="9" max="9" width="10.1796875" style="2" customWidth="1"/>
    <col min="10" max="10" width="12.453125" style="2" customWidth="1"/>
    <col min="11" max="11" width="8.90625" style="2" customWidth="1"/>
    <col min="12" max="12" width="61.1796875" style="25" customWidth="1"/>
    <col min="13" max="16384" width="8.81640625" style="2"/>
  </cols>
  <sheetData>
    <row r="1" spans="1:12" x14ac:dyDescent="0.3">
      <c r="A1" s="12" t="s">
        <v>120</v>
      </c>
      <c r="L1" s="33" t="s">
        <v>121</v>
      </c>
    </row>
    <row r="2" spans="1:12" ht="39" x14ac:dyDescent="0.3">
      <c r="A2" s="6" t="s">
        <v>0</v>
      </c>
      <c r="B2" s="6" t="s">
        <v>1</v>
      </c>
      <c r="C2" s="11" t="s">
        <v>119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16" t="s">
        <v>396</v>
      </c>
      <c r="J2" s="16" t="s">
        <v>397</v>
      </c>
      <c r="K2" s="16" t="s">
        <v>398</v>
      </c>
      <c r="L2" s="53" t="s">
        <v>147</v>
      </c>
    </row>
    <row r="3" spans="1:12" x14ac:dyDescent="0.3">
      <c r="A3" s="7" t="s">
        <v>86</v>
      </c>
      <c r="B3" s="7" t="s">
        <v>39</v>
      </c>
      <c r="C3" s="7" t="s">
        <v>40</v>
      </c>
      <c r="D3" s="7" t="s">
        <v>18</v>
      </c>
      <c r="E3" s="7" t="s">
        <v>20</v>
      </c>
      <c r="F3" s="7"/>
      <c r="G3" s="7" t="s">
        <v>12</v>
      </c>
      <c r="H3" s="7" t="s">
        <v>75</v>
      </c>
      <c r="I3" s="8">
        <v>1860</v>
      </c>
      <c r="J3" s="8"/>
      <c r="K3" s="8">
        <f>Table110[[#This Row],[Eelarve 23.09.2025 seisuga ]]+Table110[[#This Row],[Muudatused]]</f>
        <v>1860</v>
      </c>
      <c r="L3" s="24" t="s">
        <v>20</v>
      </c>
    </row>
    <row r="4" spans="1:12" x14ac:dyDescent="0.3">
      <c r="A4" s="7" t="s">
        <v>38</v>
      </c>
      <c r="B4" s="7" t="s">
        <v>39</v>
      </c>
      <c r="C4" s="7" t="s">
        <v>40</v>
      </c>
      <c r="D4" s="7" t="s">
        <v>18</v>
      </c>
      <c r="E4" s="7" t="s">
        <v>20</v>
      </c>
      <c r="F4" s="7"/>
      <c r="G4" s="7" t="s">
        <v>12</v>
      </c>
      <c r="H4" s="7" t="s">
        <v>87</v>
      </c>
      <c r="I4" s="8">
        <v>440</v>
      </c>
      <c r="J4" s="8"/>
      <c r="K4" s="8">
        <f>Table110[[#This Row],[Eelarve 23.09.2025 seisuga ]]+Table110[[#This Row],[Muudatused]]</f>
        <v>440</v>
      </c>
      <c r="L4" s="24" t="s">
        <v>20</v>
      </c>
    </row>
    <row r="5" spans="1:12" x14ac:dyDescent="0.3">
      <c r="A5" s="7" t="s">
        <v>79</v>
      </c>
      <c r="B5" s="7" t="s">
        <v>39</v>
      </c>
      <c r="C5" s="7" t="s">
        <v>80</v>
      </c>
      <c r="D5" s="7" t="s">
        <v>18</v>
      </c>
      <c r="E5" s="7" t="s">
        <v>20</v>
      </c>
      <c r="F5" s="7"/>
      <c r="G5" s="7" t="s">
        <v>12</v>
      </c>
      <c r="H5" s="7" t="s">
        <v>87</v>
      </c>
      <c r="I5" s="8">
        <v>1077</v>
      </c>
      <c r="J5" s="8"/>
      <c r="K5" s="8">
        <f>Table110[[#This Row],[Eelarve 23.09.2025 seisuga ]]+Table110[[#This Row],[Muudatused]]</f>
        <v>1077</v>
      </c>
      <c r="L5" s="24" t="s">
        <v>20</v>
      </c>
    </row>
    <row r="6" spans="1:12" ht="65" x14ac:dyDescent="0.3">
      <c r="A6" s="7" t="s">
        <v>79</v>
      </c>
      <c r="B6" s="7" t="s">
        <v>16</v>
      </c>
      <c r="C6" s="7" t="s">
        <v>80</v>
      </c>
      <c r="D6" s="7" t="s">
        <v>18</v>
      </c>
      <c r="E6" s="7" t="s">
        <v>81</v>
      </c>
      <c r="F6" s="7"/>
      <c r="G6" s="7" t="s">
        <v>12</v>
      </c>
      <c r="H6" s="7" t="s">
        <v>72</v>
      </c>
      <c r="I6" s="8">
        <v>28000</v>
      </c>
      <c r="J6" s="8">
        <f t="shared" ref="J6" si="0">-3438</f>
        <v>-3438</v>
      </c>
      <c r="K6" s="8">
        <f>Table110[[#This Row],[Eelarve 23.09.2025 seisuga ]]+Table110[[#This Row],[Muudatused]]</f>
        <v>24562</v>
      </c>
      <c r="L6" s="32" t="s">
        <v>344</v>
      </c>
    </row>
    <row r="7" spans="1:12" x14ac:dyDescent="0.3">
      <c r="A7" s="7" t="s">
        <v>68</v>
      </c>
      <c r="B7" s="7" t="s">
        <v>16</v>
      </c>
      <c r="C7" s="7" t="s">
        <v>69</v>
      </c>
      <c r="D7" s="7" t="s">
        <v>18</v>
      </c>
      <c r="E7" s="7" t="s">
        <v>85</v>
      </c>
      <c r="F7" s="7"/>
      <c r="G7" s="7" t="s">
        <v>12</v>
      </c>
      <c r="H7" s="7" t="s">
        <v>72</v>
      </c>
      <c r="I7" s="8">
        <v>5000</v>
      </c>
      <c r="J7" s="8"/>
      <c r="K7" s="8">
        <f>Table110[[#This Row],[Eelarve 23.09.2025 seisuga ]]+Table110[[#This Row],[Muudatused]]</f>
        <v>5000</v>
      </c>
      <c r="L7" s="32" t="s">
        <v>122</v>
      </c>
    </row>
    <row r="8" spans="1:12" ht="26" x14ac:dyDescent="0.3">
      <c r="A8" s="7" t="s">
        <v>68</v>
      </c>
      <c r="B8" s="7" t="s">
        <v>36</v>
      </c>
      <c r="C8" s="7" t="s">
        <v>69</v>
      </c>
      <c r="D8" s="7" t="s">
        <v>18</v>
      </c>
      <c r="E8" s="7"/>
      <c r="F8" s="7"/>
      <c r="G8" s="7" t="s">
        <v>12</v>
      </c>
      <c r="H8" s="7" t="s">
        <v>72</v>
      </c>
      <c r="I8" s="8">
        <v>160000</v>
      </c>
      <c r="J8" s="8">
        <v>50000</v>
      </c>
      <c r="K8" s="8">
        <f>Table110[[#This Row],[Eelarve 23.09.2025 seisuga ]]+Table110[[#This Row],[Muudatused]]</f>
        <v>210000</v>
      </c>
      <c r="L8" s="32" t="s">
        <v>345</v>
      </c>
    </row>
    <row r="9" spans="1:12" x14ac:dyDescent="0.3">
      <c r="A9" s="7" t="s">
        <v>73</v>
      </c>
      <c r="B9" s="7" t="s">
        <v>39</v>
      </c>
      <c r="C9" s="7" t="s">
        <v>74</v>
      </c>
      <c r="D9" s="7" t="s">
        <v>18</v>
      </c>
      <c r="E9" s="7"/>
      <c r="F9" s="7"/>
      <c r="G9" s="7" t="s">
        <v>12</v>
      </c>
      <c r="H9" s="7" t="s">
        <v>75</v>
      </c>
      <c r="I9" s="8">
        <v>100542</v>
      </c>
      <c r="J9" s="8"/>
      <c r="K9" s="8">
        <f>Table110[[#This Row],[Eelarve 23.09.2025 seisuga ]]+Table110[[#This Row],[Muudatused]]</f>
        <v>100542</v>
      </c>
      <c r="L9" s="24"/>
    </row>
    <row r="10" spans="1:12" x14ac:dyDescent="0.3">
      <c r="A10" s="7" t="s">
        <v>76</v>
      </c>
      <c r="B10" s="7" t="s">
        <v>39</v>
      </c>
      <c r="C10" s="7" t="s">
        <v>50</v>
      </c>
      <c r="D10" s="7" t="s">
        <v>77</v>
      </c>
      <c r="E10" s="7"/>
      <c r="F10" s="7"/>
      <c r="G10" s="7" t="s">
        <v>12</v>
      </c>
      <c r="H10" s="7" t="s">
        <v>72</v>
      </c>
      <c r="I10" s="8">
        <v>50000</v>
      </c>
      <c r="J10" s="8"/>
      <c r="K10" s="8">
        <f>Table110[[#This Row],[Eelarve 23.09.2025 seisuga ]]+Table110[[#This Row],[Muudatused]]</f>
        <v>50000</v>
      </c>
      <c r="L10" s="32" t="s">
        <v>78</v>
      </c>
    </row>
    <row r="11" spans="1:12" x14ac:dyDescent="0.3">
      <c r="A11" s="7" t="s">
        <v>82</v>
      </c>
      <c r="B11" s="7" t="s">
        <v>16</v>
      </c>
      <c r="C11" s="7" t="s">
        <v>83</v>
      </c>
      <c r="D11" s="7" t="s">
        <v>18</v>
      </c>
      <c r="E11" s="7" t="s">
        <v>84</v>
      </c>
      <c r="F11" s="7"/>
      <c r="G11" s="7" t="s">
        <v>12</v>
      </c>
      <c r="H11" s="7" t="s">
        <v>72</v>
      </c>
      <c r="I11" s="8">
        <v>6000</v>
      </c>
      <c r="J11" s="8"/>
      <c r="K11" s="8">
        <f>Table110[[#This Row],[Eelarve 23.09.2025 seisuga ]]+Table110[[#This Row],[Muudatused]]</f>
        <v>6000</v>
      </c>
      <c r="L11" s="32"/>
    </row>
    <row r="12" spans="1:12" ht="26" x14ac:dyDescent="0.3">
      <c r="A12" s="7" t="s">
        <v>47</v>
      </c>
      <c r="B12" s="7" t="s">
        <v>16</v>
      </c>
      <c r="C12" s="7" t="s">
        <v>9</v>
      </c>
      <c r="D12" s="7" t="s">
        <v>18</v>
      </c>
      <c r="E12" s="7" t="s">
        <v>88</v>
      </c>
      <c r="F12" s="7"/>
      <c r="G12" s="7" t="s">
        <v>12</v>
      </c>
      <c r="H12" s="7" t="s">
        <v>87</v>
      </c>
      <c r="I12" s="8">
        <v>5900.1</v>
      </c>
      <c r="J12" s="8">
        <v>6000</v>
      </c>
      <c r="K12" s="8">
        <f>Table110[[#This Row],[Eelarve 23.09.2025 seisuga ]]+Table110[[#This Row],[Muudatused]]</f>
        <v>11900.1</v>
      </c>
      <c r="L12" s="32" t="s">
        <v>346</v>
      </c>
    </row>
    <row r="13" spans="1:12" x14ac:dyDescent="0.3">
      <c r="I13" s="3">
        <f>SUBTOTAL(109,Table110[Eelarve 23.09.2025 seisuga ])</f>
        <v>358819.1</v>
      </c>
      <c r="J13" s="3">
        <f>SUBTOTAL(109,Table110[Muudatused])</f>
        <v>52562</v>
      </c>
      <c r="K13" s="3">
        <f>SUBTOTAL(109,Table110[Eelarve])</f>
        <v>411381.1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2B50-CC46-4ED0-9C2E-F23EEB57C923}">
  <dimension ref="A1:L18"/>
  <sheetViews>
    <sheetView zoomScale="81" zoomScaleNormal="81" workbookViewId="0">
      <selection activeCell="A2" sqref="A2"/>
    </sheetView>
  </sheetViews>
  <sheetFormatPr defaultColWidth="8.81640625" defaultRowHeight="13" x14ac:dyDescent="0.3"/>
  <cols>
    <col min="1" max="1" width="19.36328125" style="2" bestFit="1" customWidth="1"/>
    <col min="2" max="2" width="11.81640625" style="2" bestFit="1" customWidth="1"/>
    <col min="3" max="3" width="14.6328125" style="2" bestFit="1" customWidth="1"/>
    <col min="4" max="4" width="20.08984375" style="2" bestFit="1" customWidth="1"/>
    <col min="5" max="5" width="18.6328125" style="2" bestFit="1" customWidth="1"/>
    <col min="6" max="6" width="7.90625" style="2" bestFit="1" customWidth="1"/>
    <col min="7" max="7" width="12.1796875" style="2" bestFit="1" customWidth="1"/>
    <col min="8" max="8" width="11.6328125" style="2" bestFit="1" customWidth="1"/>
    <col min="9" max="9" width="10.1796875" style="2" customWidth="1"/>
    <col min="10" max="10" width="11.453125" style="2" customWidth="1"/>
    <col min="11" max="11" width="10.1796875" style="2" customWidth="1"/>
    <col min="12" max="12" width="60.1796875" style="34" customWidth="1"/>
    <col min="13" max="16384" width="8.81640625" style="2"/>
  </cols>
  <sheetData>
    <row r="1" spans="1:12" x14ac:dyDescent="0.3">
      <c r="A1" s="12" t="s">
        <v>123</v>
      </c>
      <c r="L1" s="33" t="s">
        <v>124</v>
      </c>
    </row>
    <row r="2" spans="1:12" ht="39" x14ac:dyDescent="0.3">
      <c r="A2" s="6" t="s">
        <v>0</v>
      </c>
      <c r="B2" s="6" t="s">
        <v>1</v>
      </c>
      <c r="C2" s="11" t="s">
        <v>119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16" t="s">
        <v>396</v>
      </c>
      <c r="J2" s="16" t="s">
        <v>397</v>
      </c>
      <c r="K2" s="16" t="s">
        <v>398</v>
      </c>
      <c r="L2" s="53" t="s">
        <v>147</v>
      </c>
    </row>
    <row r="3" spans="1:12" x14ac:dyDescent="0.3">
      <c r="A3" s="7" t="s">
        <v>38</v>
      </c>
      <c r="B3" s="7" t="s">
        <v>39</v>
      </c>
      <c r="C3" s="7" t="s">
        <v>40</v>
      </c>
      <c r="D3" s="7" t="s">
        <v>18</v>
      </c>
      <c r="E3" s="7" t="s">
        <v>20</v>
      </c>
      <c r="F3" s="7"/>
      <c r="G3" s="7" t="s">
        <v>12</v>
      </c>
      <c r="H3" s="7" t="s">
        <v>90</v>
      </c>
      <c r="I3" s="8">
        <v>1577</v>
      </c>
      <c r="J3" s="8"/>
      <c r="K3" s="8">
        <f>Table112[[#This Row],[Eelarve 23.09.2025 seisuga ]]+Table112[[#This Row],[Muudatused]]</f>
        <v>1577</v>
      </c>
      <c r="L3" s="5" t="s">
        <v>325</v>
      </c>
    </row>
    <row r="4" spans="1:12" ht="26" x14ac:dyDescent="0.3">
      <c r="A4" s="7" t="s">
        <v>79</v>
      </c>
      <c r="B4" s="7" t="s">
        <v>39</v>
      </c>
      <c r="C4" s="7" t="s">
        <v>80</v>
      </c>
      <c r="D4" s="7" t="s">
        <v>18</v>
      </c>
      <c r="E4" s="7" t="s">
        <v>20</v>
      </c>
      <c r="F4" s="7"/>
      <c r="G4" s="7" t="s">
        <v>12</v>
      </c>
      <c r="H4" s="7" t="s">
        <v>90</v>
      </c>
      <c r="I4" s="8">
        <v>1359</v>
      </c>
      <c r="J4" s="8">
        <v>500</v>
      </c>
      <c r="K4" s="8">
        <f>Table112[[#This Row],[Eelarve 23.09.2025 seisuga ]]+Table112[[#This Row],[Muudatused]]</f>
        <v>1859</v>
      </c>
      <c r="L4" s="5" t="s">
        <v>347</v>
      </c>
    </row>
    <row r="5" spans="1:12" ht="156" x14ac:dyDescent="0.3">
      <c r="A5" s="7" t="s">
        <v>33</v>
      </c>
      <c r="B5" s="7" t="s">
        <v>16</v>
      </c>
      <c r="C5" s="7" t="s">
        <v>34</v>
      </c>
      <c r="D5" s="7" t="s">
        <v>18</v>
      </c>
      <c r="E5" s="7" t="s">
        <v>89</v>
      </c>
      <c r="F5" s="7"/>
      <c r="G5" s="7" t="s">
        <v>12</v>
      </c>
      <c r="H5" s="7" t="s">
        <v>90</v>
      </c>
      <c r="I5" s="8">
        <v>713097</v>
      </c>
      <c r="J5" s="8">
        <f>224666-50605</f>
        <v>174061</v>
      </c>
      <c r="K5" s="8">
        <f>Table112[[#This Row],[Eelarve 23.09.2025 seisuga ]]+Table112[[#This Row],[Muudatused]]</f>
        <v>887158</v>
      </c>
      <c r="L5" s="5" t="s">
        <v>356</v>
      </c>
    </row>
    <row r="6" spans="1:12" ht="39" x14ac:dyDescent="0.3">
      <c r="A6" s="7" t="s">
        <v>47</v>
      </c>
      <c r="B6" s="7" t="s">
        <v>16</v>
      </c>
      <c r="C6" s="7" t="s">
        <v>9</v>
      </c>
      <c r="D6" s="7" t="s">
        <v>18</v>
      </c>
      <c r="E6" s="7" t="s">
        <v>91</v>
      </c>
      <c r="F6" s="7"/>
      <c r="G6" s="7" t="s">
        <v>12</v>
      </c>
      <c r="H6" s="7" t="s">
        <v>90</v>
      </c>
      <c r="I6" s="8">
        <v>11000.1</v>
      </c>
      <c r="J6" s="8">
        <f>34150+2500</f>
        <v>36650</v>
      </c>
      <c r="K6" s="8">
        <f>Table112[[#This Row],[Eelarve 23.09.2025 seisuga ]]+Table112[[#This Row],[Muudatused]]</f>
        <v>47650.1</v>
      </c>
      <c r="L6" s="5" t="s">
        <v>348</v>
      </c>
    </row>
    <row r="7" spans="1:12" x14ac:dyDescent="0.3">
      <c r="I7" s="3">
        <f>SUBTOTAL(109,Table112[Eelarve 23.09.2025 seisuga ])</f>
        <v>727033.1</v>
      </c>
      <c r="J7" s="3">
        <f>SUBTOTAL(109,Table112[Muudatused])</f>
        <v>211211</v>
      </c>
      <c r="K7" s="3">
        <f>SUBTOTAL(109,Table112[Eelarve])</f>
        <v>938244.1</v>
      </c>
    </row>
    <row r="12" spans="1:12" x14ac:dyDescent="0.3">
      <c r="I12" s="3"/>
      <c r="J12" s="3"/>
      <c r="K12" s="3"/>
    </row>
    <row r="17" spans="9:11" x14ac:dyDescent="0.3">
      <c r="I17" s="3"/>
      <c r="J17" s="3"/>
      <c r="K17" s="3"/>
    </row>
    <row r="18" spans="9:11" x14ac:dyDescent="0.3">
      <c r="I18" s="3"/>
      <c r="J18" s="3"/>
      <c r="K18" s="3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9108-CAA0-40D9-B7E0-503E1221BB95}">
  <dimension ref="A1:L15"/>
  <sheetViews>
    <sheetView workbookViewId="0">
      <selection activeCell="A2" sqref="A2"/>
    </sheetView>
  </sheetViews>
  <sheetFormatPr defaultColWidth="8.81640625" defaultRowHeight="13" x14ac:dyDescent="0.3"/>
  <cols>
    <col min="1" max="1" width="21.6328125" style="2" bestFit="1" customWidth="1"/>
    <col min="2" max="2" width="11.81640625" style="2" bestFit="1" customWidth="1"/>
    <col min="3" max="3" width="14.6328125" style="2" bestFit="1" customWidth="1"/>
    <col min="4" max="4" width="20.08984375" style="2" bestFit="1" customWidth="1"/>
    <col min="5" max="5" width="21.54296875" style="2" bestFit="1" customWidth="1"/>
    <col min="6" max="6" width="7.90625" style="2" bestFit="1" customWidth="1"/>
    <col min="7" max="7" width="12.1796875" style="2" bestFit="1" customWidth="1"/>
    <col min="8" max="8" width="11.6328125" style="2" bestFit="1" customWidth="1"/>
    <col min="9" max="9" width="10.1796875" style="2" customWidth="1"/>
    <col min="10" max="10" width="13.36328125" style="2" customWidth="1"/>
    <col min="11" max="11" width="10.1796875" style="2" customWidth="1"/>
    <col min="12" max="12" width="47.90625" style="34" customWidth="1"/>
    <col min="13" max="16384" width="8.81640625" style="2"/>
  </cols>
  <sheetData>
    <row r="1" spans="1:12" x14ac:dyDescent="0.3">
      <c r="A1" s="12" t="s">
        <v>139</v>
      </c>
      <c r="L1" s="33" t="s">
        <v>140</v>
      </c>
    </row>
    <row r="2" spans="1:12" ht="39" x14ac:dyDescent="0.3">
      <c r="A2" s="6" t="s">
        <v>0</v>
      </c>
      <c r="B2" s="6" t="s">
        <v>1</v>
      </c>
      <c r="C2" s="11" t="s">
        <v>119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16" t="s">
        <v>396</v>
      </c>
      <c r="J2" s="16" t="s">
        <v>397</v>
      </c>
      <c r="K2" s="16" t="s">
        <v>398</v>
      </c>
      <c r="L2" s="53" t="s">
        <v>147</v>
      </c>
    </row>
    <row r="3" spans="1:12" x14ac:dyDescent="0.3">
      <c r="A3" s="7" t="s">
        <v>41</v>
      </c>
      <c r="B3" s="7" t="s">
        <v>39</v>
      </c>
      <c r="C3" s="7" t="s">
        <v>42</v>
      </c>
      <c r="D3" s="7" t="s">
        <v>18</v>
      </c>
      <c r="E3" s="7" t="s">
        <v>20</v>
      </c>
      <c r="F3" s="7"/>
      <c r="G3" s="7" t="s">
        <v>12</v>
      </c>
      <c r="H3" s="7" t="s">
        <v>100</v>
      </c>
      <c r="I3" s="8">
        <v>943</v>
      </c>
      <c r="J3" s="8"/>
      <c r="K3" s="8">
        <f>Table114[[#This Row],[Eelarve 23.09.2025 seisuga ]]+Table114[[#This Row],[Muudatused]]</f>
        <v>943</v>
      </c>
      <c r="L3" s="32" t="s">
        <v>134</v>
      </c>
    </row>
    <row r="4" spans="1:12" x14ac:dyDescent="0.3">
      <c r="A4" s="7" t="s">
        <v>38</v>
      </c>
      <c r="B4" s="7" t="s">
        <v>39</v>
      </c>
      <c r="C4" s="7" t="s">
        <v>40</v>
      </c>
      <c r="D4" s="7" t="s">
        <v>18</v>
      </c>
      <c r="E4" s="7" t="s">
        <v>20</v>
      </c>
      <c r="F4" s="7"/>
      <c r="G4" s="7" t="s">
        <v>12</v>
      </c>
      <c r="H4" s="7" t="s">
        <v>100</v>
      </c>
      <c r="I4" s="8">
        <v>616</v>
      </c>
      <c r="J4" s="8"/>
      <c r="K4" s="8">
        <f>Table114[[#This Row],[Eelarve 23.09.2025 seisuga ]]+Table114[[#This Row],[Muudatused]]</f>
        <v>616</v>
      </c>
      <c r="L4" s="32" t="s">
        <v>134</v>
      </c>
    </row>
    <row r="5" spans="1:12" ht="26" x14ac:dyDescent="0.3">
      <c r="A5" s="5" t="s">
        <v>131</v>
      </c>
      <c r="B5" s="7" t="s">
        <v>16</v>
      </c>
      <c r="C5" s="7" t="s">
        <v>42</v>
      </c>
      <c r="D5" s="7" t="s">
        <v>18</v>
      </c>
      <c r="E5" s="7" t="s">
        <v>97</v>
      </c>
      <c r="F5" s="7"/>
      <c r="G5" s="7" t="s">
        <v>12</v>
      </c>
      <c r="H5" s="7" t="s">
        <v>72</v>
      </c>
      <c r="I5" s="8">
        <v>51727</v>
      </c>
      <c r="J5" s="8"/>
      <c r="K5" s="8">
        <f>Table114[[#This Row],[Eelarve 23.09.2025 seisuga ]]+Table114[[#This Row],[Muudatused]]</f>
        <v>51727</v>
      </c>
      <c r="L5" s="32"/>
    </row>
    <row r="6" spans="1:12" x14ac:dyDescent="0.3">
      <c r="A6" s="7" t="s">
        <v>132</v>
      </c>
      <c r="B6" s="7" t="s">
        <v>16</v>
      </c>
      <c r="C6" s="7" t="s">
        <v>42</v>
      </c>
      <c r="D6" s="7" t="s">
        <v>18</v>
      </c>
      <c r="E6" s="7" t="s">
        <v>94</v>
      </c>
      <c r="F6" s="7"/>
      <c r="G6" s="7" t="s">
        <v>12</v>
      </c>
      <c r="H6" s="7" t="s">
        <v>72</v>
      </c>
      <c r="I6" s="8">
        <v>4284</v>
      </c>
      <c r="J6" s="8"/>
      <c r="K6" s="8">
        <f>Table114[[#This Row],[Eelarve 23.09.2025 seisuga ]]+Table114[[#This Row],[Muudatused]]</f>
        <v>4284</v>
      </c>
      <c r="L6" s="32"/>
    </row>
    <row r="7" spans="1:12" ht="26" x14ac:dyDescent="0.3">
      <c r="A7" s="10" t="s">
        <v>133</v>
      </c>
      <c r="B7" s="7" t="s">
        <v>16</v>
      </c>
      <c r="C7" s="7" t="s">
        <v>42</v>
      </c>
      <c r="D7" s="7" t="s">
        <v>18</v>
      </c>
      <c r="E7" s="7" t="s">
        <v>95</v>
      </c>
      <c r="F7" s="7"/>
      <c r="G7" s="7" t="s">
        <v>12</v>
      </c>
      <c r="H7" s="7" t="s">
        <v>72</v>
      </c>
      <c r="I7" s="8">
        <v>5300.1</v>
      </c>
      <c r="J7" s="8"/>
      <c r="K7" s="8">
        <f>Table114[[#This Row],[Eelarve 23.09.2025 seisuga ]]+Table114[[#This Row],[Muudatused]]</f>
        <v>5300.1</v>
      </c>
      <c r="L7" s="36"/>
    </row>
    <row r="8" spans="1:12" x14ac:dyDescent="0.3">
      <c r="A8" s="7" t="s">
        <v>127</v>
      </c>
      <c r="B8" s="7" t="s">
        <v>16</v>
      </c>
      <c r="C8" s="7" t="s">
        <v>126</v>
      </c>
      <c r="D8" s="7" t="s">
        <v>18</v>
      </c>
      <c r="E8" s="7" t="s">
        <v>96</v>
      </c>
      <c r="F8" s="7"/>
      <c r="G8" s="7" t="s">
        <v>12</v>
      </c>
      <c r="H8" s="7" t="s">
        <v>72</v>
      </c>
      <c r="I8" s="8">
        <v>6000</v>
      </c>
      <c r="J8" s="8"/>
      <c r="K8" s="8">
        <f>Table114[[#This Row],[Eelarve 23.09.2025 seisuga ]]+Table114[[#This Row],[Muudatused]]</f>
        <v>6000</v>
      </c>
      <c r="L8" s="5" t="s">
        <v>138</v>
      </c>
    </row>
    <row r="9" spans="1:12" x14ac:dyDescent="0.3">
      <c r="A9" s="5" t="s">
        <v>125</v>
      </c>
      <c r="B9" s="7" t="s">
        <v>16</v>
      </c>
      <c r="C9" s="7" t="s">
        <v>126</v>
      </c>
      <c r="D9" s="7" t="s">
        <v>18</v>
      </c>
      <c r="E9" s="7" t="s">
        <v>92</v>
      </c>
      <c r="F9" s="7"/>
      <c r="G9" s="7" t="s">
        <v>12</v>
      </c>
      <c r="H9" s="7" t="s">
        <v>72</v>
      </c>
      <c r="I9" s="8">
        <v>35000</v>
      </c>
      <c r="J9" s="8"/>
      <c r="K9" s="8">
        <f>Table114[[#This Row],[Eelarve 23.09.2025 seisuga ]]+Table114[[#This Row],[Muudatused]]</f>
        <v>35000</v>
      </c>
      <c r="L9" s="32"/>
    </row>
    <row r="10" spans="1:12" x14ac:dyDescent="0.3">
      <c r="A10" s="5" t="s">
        <v>129</v>
      </c>
      <c r="B10" s="7" t="s">
        <v>16</v>
      </c>
      <c r="C10" s="7" t="s">
        <v>42</v>
      </c>
      <c r="D10" s="7" t="s">
        <v>18</v>
      </c>
      <c r="E10" s="7" t="s">
        <v>101</v>
      </c>
      <c r="F10" s="7"/>
      <c r="G10" s="7" t="s">
        <v>12</v>
      </c>
      <c r="H10" s="7" t="s">
        <v>72</v>
      </c>
      <c r="I10" s="8">
        <v>500</v>
      </c>
      <c r="J10" s="8"/>
      <c r="K10" s="8">
        <f>Table114[[#This Row],[Eelarve 23.09.2025 seisuga ]]+Table114[[#This Row],[Muudatused]]</f>
        <v>500</v>
      </c>
      <c r="L10" s="5" t="s">
        <v>137</v>
      </c>
    </row>
    <row r="11" spans="1:12" x14ac:dyDescent="0.3">
      <c r="A11" s="7" t="s">
        <v>79</v>
      </c>
      <c r="B11" s="7" t="s">
        <v>16</v>
      </c>
      <c r="C11" s="7" t="s">
        <v>80</v>
      </c>
      <c r="D11" s="7" t="s">
        <v>18</v>
      </c>
      <c r="E11" s="7" t="s">
        <v>99</v>
      </c>
      <c r="F11" s="7"/>
      <c r="G11" s="7" t="s">
        <v>12</v>
      </c>
      <c r="H11" s="7" t="s">
        <v>72</v>
      </c>
      <c r="I11" s="8">
        <v>1000</v>
      </c>
      <c r="J11" s="8"/>
      <c r="K11" s="8">
        <f>Table114[[#This Row],[Eelarve 23.09.2025 seisuga ]]+Table114[[#This Row],[Muudatused]]</f>
        <v>1000</v>
      </c>
      <c r="L11" s="5" t="s">
        <v>136</v>
      </c>
    </row>
    <row r="12" spans="1:12" x14ac:dyDescent="0.3">
      <c r="A12" s="10" t="s">
        <v>130</v>
      </c>
      <c r="B12" s="7" t="s">
        <v>16</v>
      </c>
      <c r="C12" s="7" t="s">
        <v>126</v>
      </c>
      <c r="D12" s="7" t="s">
        <v>18</v>
      </c>
      <c r="E12" s="7" t="s">
        <v>93</v>
      </c>
      <c r="F12" s="7"/>
      <c r="G12" s="7" t="s">
        <v>12</v>
      </c>
      <c r="H12" s="7" t="s">
        <v>72</v>
      </c>
      <c r="I12" s="8">
        <v>14000</v>
      </c>
      <c r="J12" s="8"/>
      <c r="K12" s="8">
        <f>Table114[[#This Row],[Eelarve 23.09.2025 seisuga ]]+Table114[[#This Row],[Muudatused]]</f>
        <v>14000</v>
      </c>
      <c r="L12" s="37" t="s">
        <v>135</v>
      </c>
    </row>
    <row r="13" spans="1:12" x14ac:dyDescent="0.3">
      <c r="A13" s="7" t="s">
        <v>128</v>
      </c>
      <c r="B13" s="7" t="s">
        <v>16</v>
      </c>
      <c r="C13" s="7" t="s">
        <v>42</v>
      </c>
      <c r="D13" s="7" t="s">
        <v>18</v>
      </c>
      <c r="E13" s="7" t="s">
        <v>98</v>
      </c>
      <c r="F13" s="7"/>
      <c r="G13" s="7" t="s">
        <v>12</v>
      </c>
      <c r="H13" s="7" t="s">
        <v>72</v>
      </c>
      <c r="I13" s="8">
        <v>2500</v>
      </c>
      <c r="J13" s="8"/>
      <c r="K13" s="8">
        <f>Table114[[#This Row],[Eelarve 23.09.2025 seisuga ]]+Table114[[#This Row],[Muudatused]]</f>
        <v>2500</v>
      </c>
      <c r="L13" s="32"/>
    </row>
    <row r="14" spans="1:12" x14ac:dyDescent="0.3">
      <c r="A14" s="7" t="s">
        <v>47</v>
      </c>
      <c r="B14" s="7" t="s">
        <v>16</v>
      </c>
      <c r="C14" s="7" t="s">
        <v>9</v>
      </c>
      <c r="D14" s="7" t="s">
        <v>18</v>
      </c>
      <c r="E14" s="7" t="s">
        <v>102</v>
      </c>
      <c r="F14" s="7"/>
      <c r="G14" s="7" t="s">
        <v>12</v>
      </c>
      <c r="H14" s="7" t="s">
        <v>100</v>
      </c>
      <c r="I14" s="8">
        <v>7800.1</v>
      </c>
      <c r="J14" s="8"/>
      <c r="K14" s="8">
        <f>Table114[[#This Row],[Eelarve 23.09.2025 seisuga ]]+Table114[[#This Row],[Muudatused]]</f>
        <v>7800.1</v>
      </c>
      <c r="L14" s="38" t="s">
        <v>116</v>
      </c>
    </row>
    <row r="15" spans="1:12" x14ac:dyDescent="0.3">
      <c r="I15" s="3">
        <f>SUBTOTAL(109,Table114[Eelarve 23.09.2025 seisuga ])</f>
        <v>129670.20000000001</v>
      </c>
      <c r="J15" s="3">
        <f>SUBTOTAL(109,Table114[Muudatused])</f>
        <v>0</v>
      </c>
      <c r="K15" s="3">
        <f>SUBTOTAL(109,Table114[Eelarve])</f>
        <v>129670.20000000001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5AA64-AE8D-4ED5-ABF0-1F7D43A80FBF}">
  <dimension ref="A1:L10"/>
  <sheetViews>
    <sheetView topLeftCell="B1" workbookViewId="0">
      <selection activeCell="B2" sqref="B2"/>
    </sheetView>
  </sheetViews>
  <sheetFormatPr defaultColWidth="9.08984375" defaultRowHeight="13" x14ac:dyDescent="0.3"/>
  <cols>
    <col min="1" max="1" width="14.90625" style="2" customWidth="1"/>
    <col min="2" max="2" width="12.1796875" style="2" bestFit="1" customWidth="1"/>
    <col min="3" max="3" width="11.08984375" style="2" customWidth="1"/>
    <col min="4" max="4" width="10.453125" style="2" customWidth="1"/>
    <col min="5" max="5" width="16.6328125" style="2" bestFit="1" customWidth="1"/>
    <col min="6" max="6" width="20" style="2" bestFit="1" customWidth="1"/>
    <col min="7" max="7" width="12.1796875" style="2" bestFit="1" customWidth="1"/>
    <col min="8" max="8" width="11.6328125" style="2" bestFit="1" customWidth="1"/>
    <col min="9" max="9" width="10.08984375" style="2" customWidth="1"/>
    <col min="10" max="10" width="12.1796875" style="2" customWidth="1"/>
    <col min="11" max="11" width="10.08984375" style="2" customWidth="1"/>
    <col min="12" max="12" width="40.1796875" style="25" customWidth="1"/>
    <col min="13" max="16384" width="9.08984375" style="2"/>
  </cols>
  <sheetData>
    <row r="1" spans="1:12" x14ac:dyDescent="0.3">
      <c r="A1" s="12" t="s">
        <v>143</v>
      </c>
      <c r="L1" s="33" t="s">
        <v>144</v>
      </c>
    </row>
    <row r="2" spans="1:12" ht="39" x14ac:dyDescent="0.3">
      <c r="A2" s="6" t="s">
        <v>0</v>
      </c>
      <c r="B2" s="6" t="s">
        <v>1</v>
      </c>
      <c r="C2" s="11" t="s">
        <v>119</v>
      </c>
      <c r="D2" s="11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16" t="s">
        <v>396</v>
      </c>
      <c r="J2" s="16" t="s">
        <v>397</v>
      </c>
      <c r="K2" s="16" t="s">
        <v>398</v>
      </c>
      <c r="L2" s="53" t="s">
        <v>147</v>
      </c>
    </row>
    <row r="3" spans="1:12" x14ac:dyDescent="0.3">
      <c r="A3" s="7" t="s">
        <v>41</v>
      </c>
      <c r="B3" s="7" t="s">
        <v>39</v>
      </c>
      <c r="C3" s="7" t="s">
        <v>42</v>
      </c>
      <c r="D3" s="7" t="s">
        <v>18</v>
      </c>
      <c r="E3" s="7"/>
      <c r="F3" s="7" t="s">
        <v>20</v>
      </c>
      <c r="G3" s="7" t="s">
        <v>12</v>
      </c>
      <c r="H3" s="7" t="s">
        <v>104</v>
      </c>
      <c r="I3" s="8">
        <v>1481</v>
      </c>
      <c r="J3" s="8"/>
      <c r="K3" s="39">
        <f>Table115[[#This Row],[Eelarve 23.09.2025 seisuga ]]+Table115[[#This Row],[Muudatused]]</f>
        <v>1481</v>
      </c>
      <c r="L3" s="38" t="s">
        <v>115</v>
      </c>
    </row>
    <row r="4" spans="1:12" x14ac:dyDescent="0.3">
      <c r="A4" s="7" t="s">
        <v>38</v>
      </c>
      <c r="B4" s="7" t="s">
        <v>39</v>
      </c>
      <c r="C4" s="7" t="s">
        <v>40</v>
      </c>
      <c r="D4" s="7" t="s">
        <v>18</v>
      </c>
      <c r="E4" s="7"/>
      <c r="F4" s="7" t="s">
        <v>20</v>
      </c>
      <c r="G4" s="7" t="s">
        <v>12</v>
      </c>
      <c r="H4" s="7" t="s">
        <v>104</v>
      </c>
      <c r="I4" s="8">
        <v>880</v>
      </c>
      <c r="J4" s="8"/>
      <c r="K4" s="39">
        <f>Table115[[#This Row],[Eelarve 23.09.2025 seisuga ]]+Table115[[#This Row],[Muudatused]]</f>
        <v>880</v>
      </c>
      <c r="L4" s="38" t="s">
        <v>134</v>
      </c>
    </row>
    <row r="5" spans="1:12" x14ac:dyDescent="0.3">
      <c r="A5" s="7" t="s">
        <v>47</v>
      </c>
      <c r="B5" s="7" t="s">
        <v>16</v>
      </c>
      <c r="C5" s="7" t="s">
        <v>9</v>
      </c>
      <c r="D5" s="7" t="s">
        <v>18</v>
      </c>
      <c r="E5" s="7" t="s">
        <v>106</v>
      </c>
      <c r="F5" s="7" t="s">
        <v>20</v>
      </c>
      <c r="G5" s="7" t="s">
        <v>12</v>
      </c>
      <c r="H5" s="7" t="s">
        <v>104</v>
      </c>
      <c r="I5" s="8">
        <v>11200.1</v>
      </c>
      <c r="J5" s="8"/>
      <c r="K5" s="39">
        <f>Table115[[#This Row],[Eelarve 23.09.2025 seisuga ]]+Table115[[#This Row],[Muudatused]]</f>
        <v>11200.1</v>
      </c>
      <c r="L5" s="38" t="s">
        <v>116</v>
      </c>
    </row>
    <row r="6" spans="1:12" ht="26" x14ac:dyDescent="0.3">
      <c r="A6" s="7" t="s">
        <v>63</v>
      </c>
      <c r="B6" s="7" t="s">
        <v>8</v>
      </c>
      <c r="C6" s="7" t="s">
        <v>50</v>
      </c>
      <c r="D6" s="7" t="s">
        <v>10</v>
      </c>
      <c r="E6" s="7"/>
      <c r="F6" s="7" t="s">
        <v>103</v>
      </c>
      <c r="G6" s="7" t="s">
        <v>62</v>
      </c>
      <c r="H6" s="7" t="s">
        <v>104</v>
      </c>
      <c r="I6" s="8">
        <v>575000</v>
      </c>
      <c r="J6" s="8">
        <v>25000</v>
      </c>
      <c r="K6" s="8">
        <f>Table115[[#This Row],[Eelarve 23.09.2025 seisuga ]]+Table115[[#This Row],[Muudatused]]</f>
        <v>600000</v>
      </c>
      <c r="L6" s="35" t="s">
        <v>350</v>
      </c>
    </row>
    <row r="7" spans="1:12" x14ac:dyDescent="0.3">
      <c r="A7" s="7" t="s">
        <v>7</v>
      </c>
      <c r="B7" s="7" t="s">
        <v>8</v>
      </c>
      <c r="C7" s="7" t="s">
        <v>9</v>
      </c>
      <c r="D7" s="7" t="s">
        <v>10</v>
      </c>
      <c r="E7" s="7"/>
      <c r="F7" s="7" t="s">
        <v>103</v>
      </c>
      <c r="G7" s="7" t="s">
        <v>62</v>
      </c>
      <c r="H7" s="7" t="s">
        <v>104</v>
      </c>
      <c r="I7" s="8">
        <v>74750</v>
      </c>
      <c r="J7" s="8"/>
      <c r="K7" s="8">
        <f>Table115[[#This Row],[Eelarve 23.09.2025 seisuga ]]+Table115[[#This Row],[Muudatused]]</f>
        <v>74750</v>
      </c>
      <c r="L7" s="35" t="s">
        <v>142</v>
      </c>
    </row>
    <row r="8" spans="1:12" x14ac:dyDescent="0.3">
      <c r="A8" s="7" t="s">
        <v>33</v>
      </c>
      <c r="B8" s="7" t="s">
        <v>8</v>
      </c>
      <c r="C8" s="7" t="s">
        <v>34</v>
      </c>
      <c r="D8" s="7" t="s">
        <v>10</v>
      </c>
      <c r="E8" s="7"/>
      <c r="F8" s="7" t="s">
        <v>103</v>
      </c>
      <c r="G8" s="7" t="s">
        <v>62</v>
      </c>
      <c r="H8" s="7" t="s">
        <v>104</v>
      </c>
      <c r="I8" s="8">
        <v>24590</v>
      </c>
      <c r="J8" s="8"/>
      <c r="K8" s="8">
        <f>Table115[[#This Row],[Eelarve 23.09.2025 seisuga ]]+Table115[[#This Row],[Muudatused]]</f>
        <v>24590</v>
      </c>
      <c r="L8" s="35" t="s">
        <v>142</v>
      </c>
    </row>
    <row r="9" spans="1:12" ht="26" x14ac:dyDescent="0.3">
      <c r="A9" s="7" t="s">
        <v>41</v>
      </c>
      <c r="B9" s="7" t="s">
        <v>8</v>
      </c>
      <c r="C9" s="7" t="s">
        <v>42</v>
      </c>
      <c r="D9" s="7" t="s">
        <v>10</v>
      </c>
      <c r="E9" s="7"/>
      <c r="F9" s="7" t="s">
        <v>105</v>
      </c>
      <c r="G9" s="7" t="s">
        <v>12</v>
      </c>
      <c r="H9" s="7" t="s">
        <v>104</v>
      </c>
      <c r="I9" s="8">
        <v>12000</v>
      </c>
      <c r="J9" s="8"/>
      <c r="K9" s="8">
        <f>Table115[[#This Row],[Eelarve 23.09.2025 seisuga ]]+Table115[[#This Row],[Muudatused]]</f>
        <v>12000</v>
      </c>
      <c r="L9" s="32" t="s">
        <v>141</v>
      </c>
    </row>
    <row r="10" spans="1:12" x14ac:dyDescent="0.3">
      <c r="I10" s="3">
        <f>SUBTOTAL(109,Table115[Eelarve 23.09.2025 seisuga ])</f>
        <v>699901.1</v>
      </c>
      <c r="J10" s="3">
        <f>SUBTOTAL(109,Table115[Muudatused])</f>
        <v>25000</v>
      </c>
      <c r="K10" s="3">
        <f>SUBTOTAL(109,Table115[Eelarve])</f>
        <v>724901.1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B77E6-D798-4015-8184-4A1E1865B4DE}">
  <dimension ref="A1:L7"/>
  <sheetViews>
    <sheetView topLeftCell="B1" workbookViewId="0">
      <selection activeCell="L2" sqref="L2"/>
    </sheetView>
  </sheetViews>
  <sheetFormatPr defaultColWidth="8.81640625" defaultRowHeight="13" x14ac:dyDescent="0.3"/>
  <cols>
    <col min="1" max="1" width="19.36328125" style="2" bestFit="1" customWidth="1"/>
    <col min="2" max="2" width="11.81640625" style="2" bestFit="1" customWidth="1"/>
    <col min="3" max="3" width="14.6328125" style="2" bestFit="1" customWidth="1"/>
    <col min="4" max="4" width="20.08984375" style="2" bestFit="1" customWidth="1"/>
    <col min="5" max="5" width="21.1796875" style="2" bestFit="1" customWidth="1"/>
    <col min="6" max="6" width="7.90625" style="2" bestFit="1" customWidth="1"/>
    <col min="7" max="7" width="12.1796875" style="2" bestFit="1" customWidth="1"/>
    <col min="8" max="8" width="11.6328125" style="2" bestFit="1" customWidth="1"/>
    <col min="9" max="11" width="10.54296875" style="2" customWidth="1"/>
    <col min="12" max="12" width="32.54296875" style="34" customWidth="1"/>
    <col min="13" max="16384" width="8.81640625" style="2"/>
  </cols>
  <sheetData>
    <row r="1" spans="1:12" x14ac:dyDescent="0.3">
      <c r="A1" s="12" t="s">
        <v>145</v>
      </c>
      <c r="L1" s="33" t="s">
        <v>146</v>
      </c>
    </row>
    <row r="2" spans="1:12" ht="39" x14ac:dyDescent="0.3">
      <c r="A2" s="11" t="s">
        <v>0</v>
      </c>
      <c r="B2" s="11" t="s">
        <v>1</v>
      </c>
      <c r="C2" s="11" t="s">
        <v>119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6" t="s">
        <v>396</v>
      </c>
      <c r="J2" s="16" t="s">
        <v>397</v>
      </c>
      <c r="K2" s="16" t="s">
        <v>398</v>
      </c>
      <c r="L2" s="53" t="s">
        <v>147</v>
      </c>
    </row>
    <row r="3" spans="1:12" ht="26" x14ac:dyDescent="0.3">
      <c r="A3" s="7" t="s">
        <v>79</v>
      </c>
      <c r="B3" s="7" t="s">
        <v>39</v>
      </c>
      <c r="C3" s="7" t="s">
        <v>80</v>
      </c>
      <c r="D3" s="7" t="s">
        <v>18</v>
      </c>
      <c r="E3" s="7" t="s">
        <v>20</v>
      </c>
      <c r="F3" s="7"/>
      <c r="G3" s="7" t="s">
        <v>12</v>
      </c>
      <c r="H3" s="7" t="s">
        <v>108</v>
      </c>
      <c r="I3" s="8">
        <v>812</v>
      </c>
      <c r="J3" s="8"/>
      <c r="K3" s="8">
        <f>Table116[[#This Row],[Eelarve 23.09.2025 seisuga ]]+Table116[[#This Row],[Muudatused]]</f>
        <v>812</v>
      </c>
      <c r="L3" s="5" t="s">
        <v>325</v>
      </c>
    </row>
    <row r="4" spans="1:12" x14ac:dyDescent="0.3">
      <c r="A4" s="7" t="s">
        <v>38</v>
      </c>
      <c r="B4" s="7" t="s">
        <v>39</v>
      </c>
      <c r="C4" s="7" t="s">
        <v>40</v>
      </c>
      <c r="D4" s="7" t="s">
        <v>18</v>
      </c>
      <c r="E4" s="7" t="s">
        <v>20</v>
      </c>
      <c r="F4" s="7"/>
      <c r="G4" s="7" t="s">
        <v>12</v>
      </c>
      <c r="H4" s="7" t="s">
        <v>108</v>
      </c>
      <c r="I4" s="8">
        <v>473</v>
      </c>
      <c r="J4" s="8"/>
      <c r="K4" s="8">
        <f>Table116[[#This Row],[Eelarve 23.09.2025 seisuga ]]+Table116[[#This Row],[Muudatused]]</f>
        <v>473</v>
      </c>
      <c r="L4" s="5" t="s">
        <v>326</v>
      </c>
    </row>
    <row r="5" spans="1:12" x14ac:dyDescent="0.3">
      <c r="A5" s="7" t="s">
        <v>79</v>
      </c>
      <c r="B5" s="7" t="s">
        <v>16</v>
      </c>
      <c r="C5" s="7" t="s">
        <v>80</v>
      </c>
      <c r="D5" s="7" t="s">
        <v>18</v>
      </c>
      <c r="E5" s="7" t="s">
        <v>107</v>
      </c>
      <c r="F5" s="7"/>
      <c r="G5" s="7" t="s">
        <v>12</v>
      </c>
      <c r="H5" s="7" t="s">
        <v>108</v>
      </c>
      <c r="I5" s="8">
        <v>5000</v>
      </c>
      <c r="J5" s="8"/>
      <c r="K5" s="8">
        <f>Table116[[#This Row],[Eelarve 23.09.2025 seisuga ]]+Table116[[#This Row],[Muudatused]]</f>
        <v>5000</v>
      </c>
      <c r="L5" s="32"/>
    </row>
    <row r="6" spans="1:12" ht="52" x14ac:dyDescent="0.3">
      <c r="A6" s="7" t="s">
        <v>47</v>
      </c>
      <c r="B6" s="7" t="s">
        <v>16</v>
      </c>
      <c r="C6" s="7" t="s">
        <v>9</v>
      </c>
      <c r="D6" s="7" t="s">
        <v>18</v>
      </c>
      <c r="E6" s="7" t="s">
        <v>109</v>
      </c>
      <c r="F6" s="7"/>
      <c r="G6" s="7" t="s">
        <v>12</v>
      </c>
      <c r="H6" s="7" t="s">
        <v>108</v>
      </c>
      <c r="I6" s="8">
        <v>6600.1</v>
      </c>
      <c r="J6" s="8">
        <v>2900</v>
      </c>
      <c r="K6" s="8">
        <f>Table116[[#This Row],[Eelarve 23.09.2025 seisuga ]]+Table116[[#This Row],[Muudatused]]</f>
        <v>9500.1</v>
      </c>
      <c r="L6" s="32" t="s">
        <v>349</v>
      </c>
    </row>
    <row r="7" spans="1:12" x14ac:dyDescent="0.3">
      <c r="I7" s="3">
        <f>SUBTOTAL(109,Table116[Eelarve 23.09.2025 seisuga ])</f>
        <v>12885.1</v>
      </c>
      <c r="J7" s="3">
        <f>SUBTOTAL(109,Table116[Muudatused])</f>
        <v>2900</v>
      </c>
      <c r="K7" s="3">
        <f>SUBTOTAL(109,Table116[Eelarve])</f>
        <v>15785.1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AC25-C3BA-4B3A-98C3-ECED810068B1}">
  <dimension ref="A1:L8"/>
  <sheetViews>
    <sheetView workbookViewId="0">
      <selection activeCell="A2" sqref="A2"/>
    </sheetView>
  </sheetViews>
  <sheetFormatPr defaultColWidth="8.81640625" defaultRowHeight="13" x14ac:dyDescent="0.3"/>
  <cols>
    <col min="1" max="1" width="19.90625" style="2" bestFit="1" customWidth="1"/>
    <col min="2" max="2" width="13.1796875" style="2" bestFit="1" customWidth="1"/>
    <col min="3" max="3" width="12.81640625" style="2" bestFit="1" customWidth="1"/>
    <col min="4" max="4" width="15.453125" style="2" bestFit="1" customWidth="1"/>
    <col min="5" max="5" width="16.90625" style="2" bestFit="1" customWidth="1"/>
    <col min="6" max="6" width="9.81640625" style="2" bestFit="1" customWidth="1"/>
    <col min="7" max="7" width="13.81640625" style="2" bestFit="1" customWidth="1"/>
    <col min="8" max="8" width="13.1796875" style="2" bestFit="1" customWidth="1"/>
    <col min="9" max="9" width="13.453125" style="2" bestFit="1" customWidth="1"/>
    <col min="10" max="11" width="13.453125" style="2" customWidth="1"/>
    <col min="12" max="12" width="43.90625" style="34" bestFit="1" customWidth="1"/>
    <col min="13" max="16384" width="8.81640625" style="2"/>
  </cols>
  <sheetData>
    <row r="1" spans="1:12" x14ac:dyDescent="0.3">
      <c r="A1" s="12" t="s">
        <v>290</v>
      </c>
      <c r="L1" s="33" t="s">
        <v>291</v>
      </c>
    </row>
    <row r="2" spans="1:12" s="14" customFormat="1" ht="39" x14ac:dyDescent="0.35">
      <c r="A2" s="15" t="s">
        <v>0</v>
      </c>
      <c r="B2" s="16" t="s">
        <v>1</v>
      </c>
      <c r="C2" s="16" t="s">
        <v>119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396</v>
      </c>
      <c r="J2" s="16" t="s">
        <v>397</v>
      </c>
      <c r="K2" s="16" t="s">
        <v>398</v>
      </c>
      <c r="L2" s="54" t="s">
        <v>147</v>
      </c>
    </row>
    <row r="3" spans="1:12" x14ac:dyDescent="0.3">
      <c r="A3" s="1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148</v>
      </c>
      <c r="I3" s="8">
        <v>704</v>
      </c>
      <c r="J3" s="8"/>
      <c r="K3" s="8">
        <f>Table14[[#This Row],[Eelarve 23.09.2025 seisuga ]]+Table14[[#This Row],[Muudatused]]</f>
        <v>704</v>
      </c>
      <c r="L3" s="38" t="s">
        <v>115</v>
      </c>
    </row>
    <row r="4" spans="1:12" x14ac:dyDescent="0.3">
      <c r="A4" s="17" t="s">
        <v>41</v>
      </c>
      <c r="B4" s="7" t="s">
        <v>39</v>
      </c>
      <c r="C4" s="7" t="s">
        <v>42</v>
      </c>
      <c r="D4" s="7" t="s">
        <v>18</v>
      </c>
      <c r="E4" s="7"/>
      <c r="F4" s="7"/>
      <c r="G4" s="7" t="s">
        <v>12</v>
      </c>
      <c r="H4" s="7" t="s">
        <v>148</v>
      </c>
      <c r="I4" s="8">
        <v>1212</v>
      </c>
      <c r="J4" s="8"/>
      <c r="K4" s="8">
        <f>Table14[[#This Row],[Eelarve 23.09.2025 seisuga ]]+Table14[[#This Row],[Muudatused]]</f>
        <v>1212</v>
      </c>
      <c r="L4" s="38" t="s">
        <v>134</v>
      </c>
    </row>
    <row r="5" spans="1:12" x14ac:dyDescent="0.3">
      <c r="A5" s="17" t="s">
        <v>285</v>
      </c>
      <c r="B5" s="7" t="s">
        <v>16</v>
      </c>
      <c r="C5" s="7" t="s">
        <v>286</v>
      </c>
      <c r="D5" s="7" t="s">
        <v>18</v>
      </c>
      <c r="E5" s="7" t="s">
        <v>149</v>
      </c>
      <c r="F5" s="7"/>
      <c r="G5" s="7" t="s">
        <v>12</v>
      </c>
      <c r="H5" s="7" t="s">
        <v>148</v>
      </c>
      <c r="I5" s="8">
        <v>2100.1</v>
      </c>
      <c r="J5" s="8"/>
      <c r="K5" s="8">
        <f>Table14[[#This Row],[Eelarve 23.09.2025 seisuga ]]+Table14[[#This Row],[Muudatused]]</f>
        <v>2100.1</v>
      </c>
      <c r="L5" s="32" t="s">
        <v>352</v>
      </c>
    </row>
    <row r="6" spans="1:12" ht="78" x14ac:dyDescent="0.3">
      <c r="A6" s="17" t="s">
        <v>47</v>
      </c>
      <c r="B6" s="7" t="s">
        <v>16</v>
      </c>
      <c r="C6" s="7" t="s">
        <v>9</v>
      </c>
      <c r="D6" s="7" t="s">
        <v>18</v>
      </c>
      <c r="E6" s="7" t="s">
        <v>152</v>
      </c>
      <c r="F6" s="7"/>
      <c r="G6" s="7" t="s">
        <v>12</v>
      </c>
      <c r="H6" s="7" t="s">
        <v>148</v>
      </c>
      <c r="I6" s="8">
        <v>9300.1</v>
      </c>
      <c r="J6" s="8">
        <v>5232</v>
      </c>
      <c r="K6" s="8">
        <f>Table14[[#This Row],[Eelarve 23.09.2025 seisuga ]]+Table14[[#This Row],[Muudatused]]</f>
        <v>14532.1</v>
      </c>
      <c r="L6" s="32" t="s">
        <v>353</v>
      </c>
    </row>
    <row r="7" spans="1:12" ht="52" x14ac:dyDescent="0.3">
      <c r="A7" s="17" t="s">
        <v>285</v>
      </c>
      <c r="B7" s="7" t="s">
        <v>16</v>
      </c>
      <c r="C7" s="7" t="s">
        <v>286</v>
      </c>
      <c r="D7" s="7" t="s">
        <v>65</v>
      </c>
      <c r="E7" s="7" t="s">
        <v>150</v>
      </c>
      <c r="F7" s="7"/>
      <c r="G7" s="7" t="s">
        <v>12</v>
      </c>
      <c r="H7" s="7" t="s">
        <v>148</v>
      </c>
      <c r="I7" s="8">
        <v>35000</v>
      </c>
      <c r="J7" s="27">
        <v>-32000</v>
      </c>
      <c r="K7" s="27">
        <f>Table14[[#This Row],[Eelarve 23.09.2025 seisuga ]]+Table14[[#This Row],[Muudatused]]</f>
        <v>3000</v>
      </c>
      <c r="L7" s="40" t="s">
        <v>351</v>
      </c>
    </row>
    <row r="8" spans="1:12" x14ac:dyDescent="0.3">
      <c r="A8" s="18"/>
      <c r="B8" s="19"/>
      <c r="C8" s="19"/>
      <c r="D8" s="19"/>
      <c r="E8" s="19"/>
      <c r="F8" s="19"/>
      <c r="G8" s="19"/>
      <c r="H8" s="19"/>
      <c r="I8" s="8">
        <f>SUBTOTAL(109,Table14[Eelarve 23.09.2025 seisuga ])</f>
        <v>48316.2</v>
      </c>
      <c r="J8" s="8">
        <f>SUBTOTAL(109,Table14[Muudatused])</f>
        <v>-26768</v>
      </c>
      <c r="K8" s="8">
        <f>SUBTOTAL(109,Table14[Eelarve])</f>
        <v>21548.2</v>
      </c>
      <c r="L8" s="41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E52B-2C10-4123-A68F-2CB4848B8634}">
  <dimension ref="A1:L13"/>
  <sheetViews>
    <sheetView workbookViewId="0">
      <selection activeCell="A2" sqref="A2"/>
    </sheetView>
  </sheetViews>
  <sheetFormatPr defaultColWidth="8.81640625" defaultRowHeight="13" x14ac:dyDescent="0.3"/>
  <cols>
    <col min="1" max="1" width="19.90625" style="2" bestFit="1" customWidth="1"/>
    <col min="2" max="2" width="13.1796875" style="2" bestFit="1" customWidth="1"/>
    <col min="3" max="3" width="12.81640625" style="2" bestFit="1" customWidth="1"/>
    <col min="4" max="4" width="10.90625" style="2" bestFit="1" customWidth="1"/>
    <col min="5" max="5" width="19.6328125" style="2" bestFit="1" customWidth="1"/>
    <col min="6" max="6" width="9.81640625" style="2" bestFit="1" customWidth="1"/>
    <col min="7" max="7" width="12.81640625" style="2" bestFit="1" customWidth="1"/>
    <col min="8" max="8" width="13.1796875" style="2" bestFit="1" customWidth="1"/>
    <col min="9" max="9" width="12.453125" style="2" bestFit="1" customWidth="1"/>
    <col min="10" max="11" width="12.453125" style="2" customWidth="1"/>
    <col min="12" max="12" width="68.81640625" style="31" bestFit="1" customWidth="1"/>
    <col min="13" max="16384" width="8.81640625" style="2"/>
  </cols>
  <sheetData>
    <row r="1" spans="1:12" x14ac:dyDescent="0.3">
      <c r="A1" s="12" t="s">
        <v>292</v>
      </c>
      <c r="L1" s="30" t="s">
        <v>293</v>
      </c>
    </row>
    <row r="2" spans="1:12" s="14" customFormat="1" ht="39" x14ac:dyDescent="0.35">
      <c r="A2" s="11" t="s">
        <v>0</v>
      </c>
      <c r="B2" s="11" t="s">
        <v>1</v>
      </c>
      <c r="C2" s="11" t="s">
        <v>119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6" t="s">
        <v>396</v>
      </c>
      <c r="J2" s="16" t="s">
        <v>397</v>
      </c>
      <c r="K2" s="16" t="s">
        <v>398</v>
      </c>
      <c r="L2" s="53" t="s">
        <v>147</v>
      </c>
    </row>
    <row r="3" spans="1:12" x14ac:dyDescent="0.3">
      <c r="A3" s="7" t="s">
        <v>38</v>
      </c>
      <c r="B3" s="7" t="s">
        <v>39</v>
      </c>
      <c r="C3" s="7" t="s">
        <v>40</v>
      </c>
      <c r="D3" s="7" t="s">
        <v>18</v>
      </c>
      <c r="E3" s="7"/>
      <c r="F3" s="7"/>
      <c r="G3" s="7" t="s">
        <v>12</v>
      </c>
      <c r="H3" s="7" t="s">
        <v>160</v>
      </c>
      <c r="I3" s="8">
        <v>528</v>
      </c>
      <c r="J3" s="8"/>
      <c r="K3" s="8">
        <f>Table19[[#This Row],[Eelarve 23.09.2025 seisuga ]]+Table19[[#This Row],[Muudatused]]</f>
        <v>528</v>
      </c>
      <c r="L3" s="38" t="s">
        <v>115</v>
      </c>
    </row>
    <row r="4" spans="1:12" x14ac:dyDescent="0.3">
      <c r="A4" s="7" t="s">
        <v>41</v>
      </c>
      <c r="B4" s="7" t="s">
        <v>39</v>
      </c>
      <c r="C4" s="7" t="s">
        <v>42</v>
      </c>
      <c r="D4" s="7" t="s">
        <v>18</v>
      </c>
      <c r="E4" s="7"/>
      <c r="F4" s="7"/>
      <c r="G4" s="7" t="s">
        <v>12</v>
      </c>
      <c r="H4" s="7" t="s">
        <v>160</v>
      </c>
      <c r="I4" s="8">
        <v>943</v>
      </c>
      <c r="J4" s="8"/>
      <c r="K4" s="8">
        <f>Table19[[#This Row],[Eelarve 23.09.2025 seisuga ]]+Table19[[#This Row],[Muudatused]]</f>
        <v>943</v>
      </c>
      <c r="L4" s="38" t="s">
        <v>134</v>
      </c>
    </row>
    <row r="5" spans="1:12" x14ac:dyDescent="0.3">
      <c r="A5" s="7" t="s">
        <v>285</v>
      </c>
      <c r="B5" s="7" t="s">
        <v>16</v>
      </c>
      <c r="C5" s="7" t="s">
        <v>286</v>
      </c>
      <c r="D5" s="7" t="s">
        <v>18</v>
      </c>
      <c r="E5" s="7" t="s">
        <v>164</v>
      </c>
      <c r="F5" s="7"/>
      <c r="G5" s="7" t="s">
        <v>12</v>
      </c>
      <c r="H5" s="7" t="s">
        <v>161</v>
      </c>
      <c r="I5" s="8">
        <v>9300</v>
      </c>
      <c r="J5" s="27"/>
      <c r="K5" s="27">
        <f>Table19[[#This Row],[Eelarve 23.09.2025 seisuga ]]+Table19[[#This Row],[Muudatused]]</f>
        <v>9300</v>
      </c>
      <c r="L5" s="42" t="s">
        <v>321</v>
      </c>
    </row>
    <row r="6" spans="1:12" x14ac:dyDescent="0.3">
      <c r="A6" s="7" t="s">
        <v>33</v>
      </c>
      <c r="B6" s="7" t="s">
        <v>16</v>
      </c>
      <c r="C6" s="7" t="s">
        <v>34</v>
      </c>
      <c r="D6" s="7" t="s">
        <v>18</v>
      </c>
      <c r="E6" s="7" t="s">
        <v>165</v>
      </c>
      <c r="F6" s="7"/>
      <c r="G6" s="7" t="s">
        <v>12</v>
      </c>
      <c r="H6" s="7" t="s">
        <v>161</v>
      </c>
      <c r="I6" s="8">
        <v>427</v>
      </c>
      <c r="J6" s="8"/>
      <c r="K6" s="8">
        <f>Table19[[#This Row],[Eelarve 23.09.2025 seisuga ]]+Table19[[#This Row],[Muudatused]]</f>
        <v>427</v>
      </c>
      <c r="L6" s="5" t="s">
        <v>20</v>
      </c>
    </row>
    <row r="7" spans="1:12" x14ac:dyDescent="0.3">
      <c r="A7" s="7" t="s">
        <v>285</v>
      </c>
      <c r="B7" s="7" t="s">
        <v>16</v>
      </c>
      <c r="C7" s="7" t="s">
        <v>286</v>
      </c>
      <c r="D7" s="7" t="s">
        <v>18</v>
      </c>
      <c r="E7" s="7" t="s">
        <v>287</v>
      </c>
      <c r="F7" s="7"/>
      <c r="G7" s="7" t="s">
        <v>12</v>
      </c>
      <c r="H7" s="7" t="s">
        <v>161</v>
      </c>
      <c r="I7" s="8">
        <v>79828</v>
      </c>
      <c r="J7" s="8"/>
      <c r="K7" s="8">
        <f>Table19[[#This Row],[Eelarve 23.09.2025 seisuga ]]+Table19[[#This Row],[Muudatused]]</f>
        <v>79828</v>
      </c>
      <c r="L7" s="5" t="s">
        <v>20</v>
      </c>
    </row>
    <row r="8" spans="1:12" x14ac:dyDescent="0.3">
      <c r="A8" s="7" t="s">
        <v>167</v>
      </c>
      <c r="B8" s="7" t="s">
        <v>16</v>
      </c>
      <c r="C8" s="7" t="s">
        <v>168</v>
      </c>
      <c r="D8" s="7" t="s">
        <v>18</v>
      </c>
      <c r="E8" s="7" t="s">
        <v>288</v>
      </c>
      <c r="F8" s="7"/>
      <c r="G8" s="7" t="s">
        <v>12</v>
      </c>
      <c r="H8" s="7" t="s">
        <v>161</v>
      </c>
      <c r="I8" s="8">
        <v>9031</v>
      </c>
      <c r="J8" s="28"/>
      <c r="K8" s="28">
        <f>Table19[[#This Row],[Eelarve 23.09.2025 seisuga ]]+Table19[[#This Row],[Muudatused]]</f>
        <v>9031</v>
      </c>
      <c r="L8" s="43" t="s">
        <v>320</v>
      </c>
    </row>
    <row r="9" spans="1:12" x14ac:dyDescent="0.3">
      <c r="A9" s="7" t="s">
        <v>47</v>
      </c>
      <c r="B9" s="7" t="s">
        <v>16</v>
      </c>
      <c r="C9" s="7" t="s">
        <v>9</v>
      </c>
      <c r="D9" s="7" t="s">
        <v>18</v>
      </c>
      <c r="E9" s="7" t="s">
        <v>171</v>
      </c>
      <c r="F9" s="7"/>
      <c r="G9" s="7" t="s">
        <v>12</v>
      </c>
      <c r="H9" s="7" t="s">
        <v>160</v>
      </c>
      <c r="I9" s="8">
        <v>7150.1</v>
      </c>
      <c r="J9" s="8">
        <v>450</v>
      </c>
      <c r="K9" s="8">
        <f>Table19[[#This Row],[Eelarve 23.09.2025 seisuga ]]+Table19[[#This Row],[Muudatused]]</f>
        <v>7600.1</v>
      </c>
      <c r="L9" s="38" t="s">
        <v>354</v>
      </c>
    </row>
    <row r="10" spans="1:12" ht="26" x14ac:dyDescent="0.3">
      <c r="A10" s="7" t="s">
        <v>285</v>
      </c>
      <c r="B10" s="7" t="s">
        <v>16</v>
      </c>
      <c r="C10" s="7" t="s">
        <v>286</v>
      </c>
      <c r="D10" s="7" t="s">
        <v>18</v>
      </c>
      <c r="E10" s="7" t="s">
        <v>162</v>
      </c>
      <c r="F10" s="7"/>
      <c r="G10" s="7" t="s">
        <v>12</v>
      </c>
      <c r="H10" s="7" t="s">
        <v>161</v>
      </c>
      <c r="I10" s="8">
        <v>3683</v>
      </c>
      <c r="J10" s="8">
        <v>605</v>
      </c>
      <c r="K10" s="8">
        <f>Table19[[#This Row],[Eelarve 23.09.2025 seisuga ]]+Table19[[#This Row],[Muudatused]]</f>
        <v>4288</v>
      </c>
      <c r="L10" s="5" t="s">
        <v>355</v>
      </c>
    </row>
    <row r="11" spans="1:12" x14ac:dyDescent="0.3">
      <c r="A11" s="7" t="s">
        <v>169</v>
      </c>
      <c r="B11" s="7" t="s">
        <v>16</v>
      </c>
      <c r="C11" s="7" t="s">
        <v>170</v>
      </c>
      <c r="D11" s="7" t="s">
        <v>18</v>
      </c>
      <c r="E11" s="7" t="s">
        <v>166</v>
      </c>
      <c r="F11" s="7"/>
      <c r="G11" s="7" t="s">
        <v>12</v>
      </c>
      <c r="H11" s="7" t="s">
        <v>161</v>
      </c>
      <c r="I11" s="8">
        <v>48000</v>
      </c>
      <c r="J11" s="28"/>
      <c r="K11" s="28">
        <f>Table19[[#This Row],[Eelarve 23.09.2025 seisuga ]]+Table19[[#This Row],[Muudatused]]</f>
        <v>48000</v>
      </c>
      <c r="L11" s="43" t="s">
        <v>322</v>
      </c>
    </row>
    <row r="12" spans="1:12" x14ac:dyDescent="0.3">
      <c r="A12" s="7" t="s">
        <v>285</v>
      </c>
      <c r="B12" s="7" t="s">
        <v>16</v>
      </c>
      <c r="C12" s="7" t="s">
        <v>286</v>
      </c>
      <c r="D12" s="7" t="s">
        <v>18</v>
      </c>
      <c r="E12" s="7" t="s">
        <v>163</v>
      </c>
      <c r="F12" s="7"/>
      <c r="G12" s="7" t="s">
        <v>12</v>
      </c>
      <c r="H12" s="7" t="s">
        <v>161</v>
      </c>
      <c r="I12" s="8">
        <v>14317</v>
      </c>
      <c r="J12" s="8"/>
      <c r="K12" s="8">
        <f>Table19[[#This Row],[Eelarve 23.09.2025 seisuga ]]+Table19[[#This Row],[Muudatused]]</f>
        <v>14317</v>
      </c>
      <c r="L12" s="5" t="s">
        <v>20</v>
      </c>
    </row>
    <row r="13" spans="1:12" x14ac:dyDescent="0.3">
      <c r="I13" s="3">
        <f>SUBTOTAL(109,Table19[Eelarve 23.09.2025 seisuga ])</f>
        <v>173207.1</v>
      </c>
      <c r="J13" s="3">
        <f>SUBTOTAL(109,Table19[Muudatused])</f>
        <v>1055</v>
      </c>
      <c r="K13" s="3">
        <f>SUBTOTAL(109,Table19[Eelarve])</f>
        <v>174262.1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DTO</vt:lpstr>
      <vt:lpstr>EKO</vt:lpstr>
      <vt:lpstr>ELVO</vt:lpstr>
      <vt:lpstr>kantsler</vt:lpstr>
      <vt:lpstr>KO</vt:lpstr>
      <vt:lpstr>KSO</vt:lpstr>
      <vt:lpstr>KEA</vt:lpstr>
      <vt:lpstr>KVO</vt:lpstr>
      <vt:lpstr>PO</vt:lpstr>
      <vt:lpstr>PRO</vt:lpstr>
      <vt:lpstr>RHO</vt:lpstr>
      <vt:lpstr>RTO</vt:lpstr>
      <vt:lpstr>SAO</vt:lpstr>
      <vt:lpstr>SAK</vt:lpstr>
      <vt:lpstr>SJO</vt:lpstr>
      <vt:lpstr>SM</vt:lpstr>
      <vt:lpstr>STAO</vt:lpstr>
      <vt:lpstr>UKO</vt:lpstr>
      <vt:lpstr>VAK</vt:lpstr>
      <vt:lpstr>VHO</vt:lpstr>
      <vt:lpstr>VVO</vt:lpstr>
      <vt:lpstr>ÕO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Maia Podhodjaštševa</cp:lastModifiedBy>
  <dcterms:created xsi:type="dcterms:W3CDTF">2016-07-06T08:22:49Z</dcterms:created>
  <dcterms:modified xsi:type="dcterms:W3CDTF">2026-02-11T14:07:11Z</dcterms:modified>
</cp:coreProperties>
</file>